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9a6a8a6341ed226f/Documents/0_Wichtig/WebContent/Präsentationen_Tools/"/>
    </mc:Choice>
  </mc:AlternateContent>
  <xr:revisionPtr revIDLastSave="133" documentId="8_{88041565-7EAA-4C1E-9FAA-A5B7803CAC34}" xr6:coauthVersionLast="46" xr6:coauthVersionMax="46" xr10:uidLastSave="{2A4983F2-46C5-4470-8381-7F85FF8EFA8E}"/>
  <bookViews>
    <workbookView xWindow="-120" yWindow="-120" windowWidth="24240" windowHeight="13140" tabRatio="859" xr2:uid="{00000000-000D-0000-FFFF-FFFF00000000}"/>
  </bookViews>
  <sheets>
    <sheet name="SPOR_Template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5" l="1"/>
  <c r="E35" i="55"/>
  <c r="D35" i="55"/>
  <c r="C35" i="55"/>
  <c r="B35" i="55"/>
  <c r="G13" i="55" l="1"/>
  <c r="F13" i="55" s="1"/>
  <c r="E13" i="55" s="1"/>
  <c r="D13" i="55" s="1"/>
  <c r="C13" i="55" s="1"/>
  <c r="B13" i="55" s="1"/>
  <c r="H13" i="55" l="1"/>
  <c r="I13" i="55" s="1"/>
  <c r="J13" i="55" s="1"/>
  <c r="K13" i="55" s="1"/>
  <c r="L13" i="55" s="1"/>
  <c r="M13" i="55" s="1"/>
  <c r="N13" i="55" s="1"/>
  <c r="O13" i="55" s="1"/>
  <c r="P13" i="55" s="1"/>
  <c r="Q13" i="55" s="1"/>
  <c r="R13" i="55" s="1"/>
  <c r="S13" i="55" s="1"/>
  <c r="T13" i="55" s="1"/>
  <c r="U13" i="55" s="1"/>
  <c r="V13" i="55" s="1"/>
  <c r="W13" i="55" s="1"/>
  <c r="X13" i="55" s="1"/>
  <c r="Y13" i="55" s="1"/>
  <c r="E14" i="55"/>
  <c r="D41" i="55" l="1"/>
  <c r="F46" i="55" l="1"/>
  <c r="E46" i="55"/>
  <c r="D46" i="55"/>
  <c r="C46" i="55"/>
  <c r="F41" i="55"/>
  <c r="E41" i="55"/>
  <c r="C41" i="55"/>
  <c r="B41" i="55"/>
  <c r="Y16" i="55"/>
  <c r="X16" i="55"/>
  <c r="W16" i="55"/>
  <c r="V16" i="55"/>
  <c r="V22" i="55" s="1"/>
  <c r="U16" i="55"/>
  <c r="T16" i="55"/>
  <c r="T22" i="55" s="1"/>
  <c r="T23" i="55" s="1"/>
  <c r="S16" i="55"/>
  <c r="R16" i="55"/>
  <c r="R22" i="55" s="1"/>
  <c r="R23" i="55" s="1"/>
  <c r="Q16" i="55"/>
  <c r="P16" i="55"/>
  <c r="P22" i="55" s="1"/>
  <c r="P23" i="55" s="1"/>
  <c r="O16" i="55"/>
  <c r="N16" i="55"/>
  <c r="N22" i="55" s="1"/>
  <c r="N23" i="55" s="1"/>
  <c r="M16" i="55"/>
  <c r="L16" i="55"/>
  <c r="L22" i="55" s="1"/>
  <c r="L23" i="55" s="1"/>
  <c r="K16" i="55"/>
  <c r="J16" i="55"/>
  <c r="J22" i="55" s="1"/>
  <c r="J23" i="55" s="1"/>
  <c r="I16" i="55"/>
  <c r="H16" i="55"/>
  <c r="G16" i="55"/>
  <c r="F16" i="55"/>
  <c r="F24" i="55" s="1"/>
  <c r="E16" i="55"/>
  <c r="E24" i="55" s="1"/>
  <c r="D16" i="55"/>
  <c r="D24" i="55" s="1"/>
  <c r="C16" i="55"/>
  <c r="C24" i="55" s="1"/>
  <c r="B16" i="55"/>
  <c r="H22" i="55" l="1"/>
  <c r="H23" i="55" s="1"/>
  <c r="B37" i="55"/>
  <c r="B24" i="55"/>
  <c r="D26" i="55"/>
  <c r="D25" i="55"/>
  <c r="F26" i="55"/>
  <c r="F25" i="55"/>
  <c r="V23" i="55"/>
  <c r="W22" i="55"/>
  <c r="C25" i="55"/>
  <c r="C26" i="55"/>
  <c r="E26" i="55"/>
  <c r="E25" i="55"/>
  <c r="I22" i="55"/>
  <c r="I23" i="55" s="1"/>
  <c r="K22" i="55"/>
  <c r="K23" i="55" s="1"/>
  <c r="M22" i="55"/>
  <c r="M23" i="55" s="1"/>
  <c r="O22" i="55"/>
  <c r="O23" i="55" s="1"/>
  <c r="Q22" i="55"/>
  <c r="Q23" i="55" s="1"/>
  <c r="S22" i="55"/>
  <c r="S23" i="55" s="1"/>
  <c r="U22" i="55"/>
  <c r="U23" i="55" s="1"/>
  <c r="B42" i="55"/>
  <c r="E22" i="55"/>
  <c r="C22" i="55"/>
  <c r="D22" i="55"/>
  <c r="F22" i="55"/>
  <c r="B22" i="55"/>
  <c r="G22" i="55"/>
  <c r="G23" i="55" s="1"/>
  <c r="F23" i="55" l="1"/>
  <c r="F28" i="55" s="1"/>
  <c r="C23" i="55"/>
  <c r="C28" i="55" s="1"/>
  <c r="X22" i="55"/>
  <c r="W23" i="55"/>
  <c r="B26" i="55"/>
  <c r="B25" i="55"/>
  <c r="B23" i="55"/>
  <c r="B28" i="55" s="1"/>
  <c r="D23" i="55"/>
  <c r="D28" i="55" s="1"/>
  <c r="E23" i="55"/>
  <c r="E28" i="55" s="1"/>
  <c r="C42" i="55"/>
  <c r="B39" i="55"/>
  <c r="Y22" i="55" l="1"/>
  <c r="Y23" i="55" s="1"/>
  <c r="X23" i="55"/>
  <c r="D42" i="55"/>
  <c r="C17" i="55" l="1"/>
  <c r="E42" i="55"/>
  <c r="C37" i="55" l="1"/>
  <c r="C39" i="55" s="1"/>
  <c r="D17" i="55"/>
  <c r="F42" i="55"/>
  <c r="G33" i="55"/>
  <c r="G35" i="55" s="1"/>
  <c r="D37" i="55" l="1"/>
  <c r="D39" i="55" s="1"/>
  <c r="E17" i="55"/>
  <c r="H33" i="55"/>
  <c r="H35" i="55" s="1"/>
  <c r="E37" i="55" l="1"/>
  <c r="E39" i="55" s="1"/>
  <c r="F17" i="55" s="1"/>
  <c r="I33" i="55"/>
  <c r="I35" i="55" s="1"/>
  <c r="F37" i="55" l="1"/>
  <c r="F39" i="55" s="1"/>
  <c r="G17" i="55"/>
  <c r="J33" i="55"/>
  <c r="J35" i="55" s="1"/>
  <c r="G37" i="55" l="1"/>
  <c r="G39" i="55" s="1"/>
  <c r="K33" i="55"/>
  <c r="K35" i="55" s="1"/>
  <c r="G24" i="55" l="1"/>
  <c r="G42" i="55"/>
  <c r="L33" i="55"/>
  <c r="L35" i="55" s="1"/>
  <c r="G26" i="55" l="1"/>
  <c r="G25" i="55"/>
  <c r="G28" i="55" s="1"/>
  <c r="M33" i="55"/>
  <c r="M35" i="55" s="1"/>
  <c r="H17" i="55" l="1"/>
  <c r="N33" i="55"/>
  <c r="N35" i="55" s="1"/>
  <c r="H37" i="55" l="1"/>
  <c r="H39" i="55" s="1"/>
  <c r="O33" i="55"/>
  <c r="O35" i="55" s="1"/>
  <c r="H24" i="55" l="1"/>
  <c r="H42" i="55"/>
  <c r="P33" i="55"/>
  <c r="P35" i="55" s="1"/>
  <c r="H25" i="55" l="1"/>
  <c r="H28" i="55" s="1"/>
  <c r="H26" i="55"/>
  <c r="Q33" i="55"/>
  <c r="Q35" i="55" s="1"/>
  <c r="I17" i="55" l="1"/>
  <c r="I37" i="55" s="1"/>
  <c r="I39" i="55" s="1"/>
  <c r="R33" i="55"/>
  <c r="R35" i="55" s="1"/>
  <c r="I24" i="55" l="1"/>
  <c r="I42" i="55"/>
  <c r="S33" i="55"/>
  <c r="S35" i="55" s="1"/>
  <c r="I26" i="55" l="1"/>
  <c r="I25" i="55"/>
  <c r="I28" i="55" s="1"/>
  <c r="T33" i="55"/>
  <c r="T35" i="55" s="1"/>
  <c r="J17" i="55" l="1"/>
  <c r="U33" i="55"/>
  <c r="U35" i="55" s="1"/>
  <c r="J37" i="55" l="1"/>
  <c r="J39" i="55" s="1"/>
  <c r="V33" i="55"/>
  <c r="V35" i="55" s="1"/>
  <c r="J24" i="55" l="1"/>
  <c r="J42" i="55"/>
  <c r="W33" i="55"/>
  <c r="W35" i="55" s="1"/>
  <c r="J26" i="55" l="1"/>
  <c r="J25" i="55"/>
  <c r="J28" i="55" s="1"/>
  <c r="X33" i="55"/>
  <c r="X35" i="55" s="1"/>
  <c r="K17" i="55" l="1"/>
  <c r="Y33" i="55"/>
  <c r="Y35" i="55" s="1"/>
  <c r="K37" i="55" l="1"/>
  <c r="K39" i="55" s="1"/>
  <c r="K24" i="55" l="1"/>
  <c r="K42" i="55"/>
  <c r="K26" i="55" l="1"/>
  <c r="K25" i="55"/>
  <c r="K28" i="55" s="1"/>
  <c r="L17" i="55" l="1"/>
  <c r="L37" i="55" l="1"/>
  <c r="L39" i="55" s="1"/>
  <c r="L42" i="55" l="1"/>
  <c r="L24" i="55"/>
  <c r="L26" i="55" l="1"/>
  <c r="L25" i="55"/>
  <c r="L28" i="55" s="1"/>
  <c r="M17" i="55" l="1"/>
  <c r="M37" i="55" l="1"/>
  <c r="M39" i="55" s="1"/>
  <c r="M42" i="55" l="1"/>
  <c r="M24" i="55"/>
  <c r="M26" i="55" l="1"/>
  <c r="M25" i="55"/>
  <c r="M28" i="55" s="1"/>
  <c r="N17" i="55" l="1"/>
  <c r="N37" i="55" l="1"/>
  <c r="N39" i="55" s="1"/>
  <c r="N42" i="55" l="1"/>
  <c r="N24" i="55"/>
  <c r="N26" i="55" l="1"/>
  <c r="N25" i="55"/>
  <c r="N28" i="55" s="1"/>
  <c r="O17" i="55" l="1"/>
  <c r="O37" i="55" l="1"/>
  <c r="O39" i="55" s="1"/>
  <c r="O42" i="55" l="1"/>
  <c r="O24" i="55"/>
  <c r="O25" i="55" l="1"/>
  <c r="O28" i="55" s="1"/>
  <c r="O26" i="55"/>
  <c r="P17" i="55" l="1"/>
  <c r="P37" i="55" l="1"/>
  <c r="P39" i="55" s="1"/>
  <c r="P42" i="55" l="1"/>
  <c r="P24" i="55"/>
  <c r="P25" i="55" l="1"/>
  <c r="P28" i="55" s="1"/>
  <c r="P26" i="55"/>
  <c r="Q17" i="55" l="1"/>
  <c r="Q37" i="55" l="1"/>
  <c r="Q39" i="55" s="1"/>
  <c r="Q42" i="55" l="1"/>
  <c r="Q24" i="55"/>
  <c r="Q25" i="55" l="1"/>
  <c r="Q28" i="55" s="1"/>
  <c r="Q26" i="55"/>
  <c r="R17" i="55" l="1"/>
  <c r="R37" i="55" l="1"/>
  <c r="R39" i="55" s="1"/>
  <c r="R42" i="55" l="1"/>
  <c r="R24" i="55"/>
  <c r="R26" i="55" l="1"/>
  <c r="R25" i="55"/>
  <c r="R28" i="55" s="1"/>
  <c r="S17" i="55" l="1"/>
  <c r="S37" i="55" l="1"/>
  <c r="S39" i="55" s="1"/>
  <c r="S42" i="55" l="1"/>
  <c r="S24" i="55"/>
  <c r="S25" i="55" l="1"/>
  <c r="S28" i="55" s="1"/>
  <c r="S26" i="55"/>
  <c r="T17" i="55" l="1"/>
  <c r="T37" i="55" l="1"/>
  <c r="T39" i="55" s="1"/>
  <c r="T42" i="55" l="1"/>
  <c r="T24" i="55"/>
  <c r="T26" i="55" l="1"/>
  <c r="T25" i="55"/>
  <c r="T28" i="55" s="1"/>
  <c r="U17" i="55" l="1"/>
  <c r="U37" i="55" l="1"/>
  <c r="U39" i="55" s="1"/>
  <c r="U42" i="55" l="1"/>
  <c r="U24" i="55"/>
  <c r="U26" i="55" l="1"/>
  <c r="U25" i="55"/>
  <c r="U28" i="55" s="1"/>
  <c r="V17" i="55" l="1"/>
  <c r="V37" i="55" l="1"/>
  <c r="V39" i="55" s="1"/>
  <c r="V42" i="55" l="1"/>
  <c r="V24" i="55"/>
  <c r="V25" i="55" l="1"/>
  <c r="V28" i="55" s="1"/>
  <c r="V26" i="55"/>
  <c r="W17" i="55" l="1"/>
  <c r="W37" i="55" l="1"/>
  <c r="W39" i="55" s="1"/>
  <c r="W42" i="55" l="1"/>
  <c r="W24" i="55"/>
  <c r="W25" i="55" l="1"/>
  <c r="W28" i="55" s="1"/>
  <c r="W26" i="55"/>
  <c r="X17" i="55" l="1"/>
  <c r="X37" i="55" l="1"/>
  <c r="X39" i="55" s="1"/>
  <c r="X42" i="55" l="1"/>
  <c r="X24" i="55"/>
  <c r="X26" i="55" l="1"/>
  <c r="X25" i="55"/>
  <c r="X28" i="55" s="1"/>
  <c r="Y17" i="55" l="1"/>
  <c r="Y37" i="55" l="1"/>
  <c r="Y39" i="55" s="1"/>
  <c r="Y42" i="55" l="1"/>
  <c r="Y24" i="55"/>
  <c r="Y26" i="55" l="1"/>
  <c r="Y25" i="55"/>
  <c r="Y28" i="5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Jahn, Christian</author>
  </authors>
  <commentList>
    <comment ref="A14" authorId="0" shapeId="0" xr:uid="{6FB26EC0-266A-4F9A-8D84-140DF87A739E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NRP = Net Requirement Plan (Forecast) with Lag of month based on defined frozen planning window</t>
        </r>
      </text>
    </comment>
    <comment ref="A15" authorId="0" shapeId="0" xr:uid="{2189A3B5-44AC-43E3-96EE-098640DE855F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NRP adjustments by Planning to correct potential errors from NRP statistical projection</t>
        </r>
      </text>
    </comment>
    <comment ref="A18" authorId="0" shapeId="0" xr:uid="{F2585C79-C570-459A-8BB6-8D923D2CDF6D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Real Shipments due to orders received</t>
        </r>
      </text>
    </comment>
    <comment ref="A21" authorId="0" shapeId="0" xr:uid="{4E95C1C0-8F56-42CB-A123-00B518AB59ED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General Inventory Target (Safety Stock) as Month on Hand based on NRP</t>
        </r>
      </text>
    </comment>
    <comment ref="A22" authorId="0" shapeId="0" xr:uid="{003AD53E-F3FD-4F20-BE82-21AC7412BA86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Safety Stock Target based on defined Month on hand and 3 months average forward looking NRP</t>
        </r>
      </text>
    </comment>
    <comment ref="A23" authorId="0" shapeId="0" xr:uid="{65B50686-8384-4ADD-94CF-651CB1008D6F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Safety Stock Target + Cycle Stock based on average manufacturing lead-time per lot</t>
        </r>
      </text>
    </comment>
    <comment ref="A24" authorId="0" shapeId="0" xr:uid="{D200D446-34F0-4057-AE17-06F7B343EACF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ATP Projection based on Inventory last month - Shipments/NRP + Supply Plan</t>
        </r>
      </text>
    </comment>
    <comment ref="A25" authorId="0" shapeId="0" xr:uid="{2C668ECE-5E8F-4B46-BBEE-48A5CA1F8743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Inventory Projection based on balance between Actual Inventory - NRP + Supply Plan</t>
        </r>
      </text>
    </comment>
    <comment ref="A26" authorId="0" shapeId="0" xr:uid="{991CDA6B-3387-47D2-B793-923D58F1C93F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Supply Gap Projection based on balance between Actual Inventory - NRP + Supply Plan</t>
        </r>
      </text>
    </comment>
    <comment ref="A27" authorId="0" shapeId="0" xr:uid="{661F14F5-5594-49D1-A78E-D245F5A17C29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Actual Inventory end of month</t>
        </r>
      </text>
    </comment>
    <comment ref="A28" authorId="0" shapeId="0" xr:uid="{40DD5637-D0A8-44B9-A8A8-41882C78C76B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Inventory Health % based on comparison of Actual/ Projected Inventory vs. Inventory Target</t>
        </r>
      </text>
    </comment>
    <comment ref="A31" authorId="0" shapeId="0" xr:uid="{57963CF3-5589-4E31-9D1A-BB27C070AC80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Management Decision based interims change of Capacity offer to compensate supply gaps - Action item needed for execution</t>
        </r>
      </text>
    </comment>
    <comment ref="A33" authorId="0" shapeId="0" xr:uid="{229CB673-F1D1-4B0A-A41E-AE623FA330EC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Lead-time and length in months of interims capacity change</t>
        </r>
      </text>
    </comment>
    <comment ref="A34" authorId="0" shapeId="0" xr:uid="{A032F5D6-0167-46BB-81DA-1A07B3781850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Max. Capacity offer confirmed by Manufacturing / Supply Management</t>
        </r>
      </text>
    </comment>
    <comment ref="A35" authorId="0" shapeId="0" xr:uid="{A0A8FD52-BA64-4AD6-9731-6D675FBE1B60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Final Capacity incl. interims change of Capacity</t>
        </r>
      </text>
    </comment>
    <comment ref="A37" authorId="0" shapeId="0" xr:uid="{1AEDF239-ED5F-4BAF-B2F8-AF8AED6F6721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Calculated Supply Plan based on NRP, Inventory Target and Max Capacity</t>
        </r>
      </text>
    </comment>
    <comment ref="A38" authorId="0" shapeId="0" xr:uid="{8307E71D-59B7-488C-AFD9-8E87965C1206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Manual Supply Plan adjustments due to additional commitments (e.g. week end shift)</t>
        </r>
      </text>
    </comment>
    <comment ref="A40" authorId="0" shapeId="0" xr:uid="{DBE922BE-92ED-4D90-932F-4AF949F75D36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Stored former Supply Plans based on defined frozen window to calculated Supply Plan Attainment</t>
        </r>
      </text>
    </comment>
    <comment ref="A44" authorId="0" shapeId="0" xr:uid="{5777CA53-4091-4B68-A2EE-92EBCD9C1C0D}">
      <text>
        <r>
          <rPr>
            <b/>
            <sz val="9"/>
            <color indexed="81"/>
            <rFont val="Segoe UI"/>
            <family val="2"/>
          </rPr>
          <t>Jahn, Christian:</t>
        </r>
        <r>
          <rPr>
            <sz val="9"/>
            <color indexed="81"/>
            <rFont val="Segoe UI"/>
            <family val="2"/>
          </rPr>
          <t xml:space="preserve">
Actual Supply booked on inventory</t>
        </r>
      </text>
    </comment>
  </commentList>
</comments>
</file>

<file path=xl/sharedStrings.xml><?xml version="1.0" encoding="utf-8"?>
<sst xmlns="http://schemas.openxmlformats.org/spreadsheetml/2006/main" count="53" uniqueCount="52">
  <si>
    <t>Month</t>
  </si>
  <si>
    <t>Supply Plan of Record (SPoR)</t>
  </si>
  <si>
    <t>Location:</t>
  </si>
  <si>
    <t>UoM:</t>
  </si>
  <si>
    <t>Units</t>
  </si>
  <si>
    <t>Actual/Projected Capacity</t>
  </si>
  <si>
    <t>Check Output vs. Act. Inv.</t>
  </si>
  <si>
    <t>Location / Mfc Area:</t>
  </si>
  <si>
    <t>Capacity change by</t>
  </si>
  <si>
    <t>Backlog full Supply</t>
  </si>
  <si>
    <t>Current Month:</t>
  </si>
  <si>
    <t>Supply Plan Attainment</t>
  </si>
  <si>
    <t>Capacity change in months</t>
  </si>
  <si>
    <t>Supply Plan calculated</t>
  </si>
  <si>
    <t>Supply Plan adjustments</t>
  </si>
  <si>
    <t>Actual Supply</t>
  </si>
  <si>
    <t>Capacity (max)</t>
  </si>
  <si>
    <t>Capacity Utilization</t>
  </si>
  <si>
    <t>Inventory Health</t>
  </si>
  <si>
    <t>Actual Inventory Total</t>
  </si>
  <si>
    <t>Actual Demand (Shipments)</t>
  </si>
  <si>
    <t>NRP Lag2</t>
  </si>
  <si>
    <t>NRP adjustments (Optional)</t>
  </si>
  <si>
    <t>NRP Final</t>
  </si>
  <si>
    <t>Current</t>
  </si>
  <si>
    <t>Supply Plan Final</t>
  </si>
  <si>
    <t>Supply Plan -2m (Lag2)</t>
  </si>
  <si>
    <t xml:space="preserve"> &lt;= Actuals</t>
  </si>
  <si>
    <t xml:space="preserve"> Projection =&gt;</t>
  </si>
  <si>
    <t>Capacity change duration</t>
  </si>
  <si>
    <t>Change only yelow shaded fields</t>
  </si>
  <si>
    <t>Supply Plan of Record (SPOR)</t>
  </si>
  <si>
    <t>Capacity Summary vs. NRP &amp; Supply Plan</t>
  </si>
  <si>
    <t>Brand / Product Line:</t>
  </si>
  <si>
    <t>Act./Proj. Inventory</t>
  </si>
  <si>
    <t>Proj. Supply Gap</t>
  </si>
  <si>
    <t>ATP Projection</t>
  </si>
  <si>
    <t>Safety Stock Target</t>
  </si>
  <si>
    <t>Safety Stock Target in months on hand:</t>
  </si>
  <si>
    <t>Avg. Manufacturing Lead-time in months</t>
  </si>
  <si>
    <t>Saftey Stock &amp; Cycle Stock</t>
  </si>
  <si>
    <t>Value Stream X</t>
  </si>
  <si>
    <t>Brand X</t>
  </si>
  <si>
    <t>Location 99</t>
  </si>
  <si>
    <t>70% -
90%</t>
  </si>
  <si>
    <t>≤ 70%</t>
  </si>
  <si>
    <r>
      <rPr>
        <sz val="12"/>
        <color theme="0"/>
        <rFont val="Calibri"/>
        <family val="2"/>
      </rPr>
      <t xml:space="preserve">≥ </t>
    </r>
    <r>
      <rPr>
        <sz val="12"/>
        <color theme="0"/>
        <rFont val="Corbel"/>
        <family val="2"/>
      </rPr>
      <t>90%</t>
    </r>
  </si>
  <si>
    <r>
      <rPr>
        <sz val="12"/>
        <color theme="0"/>
        <rFont val="Calibri"/>
        <family val="2"/>
      </rPr>
      <t>≤</t>
    </r>
    <r>
      <rPr>
        <sz val="12"/>
        <color theme="0"/>
        <rFont val="Corbel"/>
        <family val="2"/>
      </rPr>
      <t xml:space="preserve"> 80%</t>
    </r>
  </si>
  <si>
    <r>
      <rPr>
        <sz val="12"/>
        <color rgb="FF9C0006"/>
        <rFont val="Calibri"/>
        <family val="2"/>
      </rPr>
      <t>≥</t>
    </r>
    <r>
      <rPr>
        <sz val="12"/>
        <color rgb="FF9C0006"/>
        <rFont val="Corbel"/>
        <family val="2"/>
      </rPr>
      <t xml:space="preserve"> 95</t>
    </r>
    <r>
      <rPr>
        <sz val="12"/>
        <color rgb="FF9C0006"/>
        <rFont val="Corbel"/>
        <family val="2"/>
        <scheme val="minor"/>
      </rPr>
      <t>%</t>
    </r>
  </si>
  <si>
    <t>80% -
95%</t>
  </si>
  <si>
    <t>Inventory Health Status:</t>
  </si>
  <si>
    <t>Capacity Utilization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</si>
</sst>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#,##0.0"/>
    <numFmt numFmtId="166" formatCode="0.0%"/>
  </numFmts>
  <fonts count="28" x14ac:knownFonts="1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25"/>
      <color theme="1"/>
      <name val="Corbel"/>
      <family val="2"/>
      <scheme val="minor"/>
    </font>
    <font>
      <b/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b/>
      <sz val="11"/>
      <color rgb="FF0000CC"/>
      <name val="Corbel"/>
      <family val="2"/>
      <scheme val="minor"/>
    </font>
    <font>
      <b/>
      <sz val="18"/>
      <color theme="1"/>
      <name val="Corbel"/>
      <family val="2"/>
      <scheme val="minor"/>
    </font>
    <font>
      <b/>
      <sz val="16"/>
      <color theme="1"/>
      <name val="Corbel"/>
      <family val="2"/>
      <scheme val="minor"/>
    </font>
    <font>
      <b/>
      <sz val="15"/>
      <color rgb="FFFF0000"/>
      <name val="Corbel"/>
      <family val="2"/>
      <scheme val="minor"/>
    </font>
    <font>
      <b/>
      <sz val="11"/>
      <color theme="0"/>
      <name val="Corbel"/>
      <family val="2"/>
      <scheme val="minor"/>
    </font>
    <font>
      <b/>
      <sz val="12"/>
      <color theme="0"/>
      <name val="Corbel"/>
      <family val="2"/>
      <scheme val="minor"/>
    </font>
    <font>
      <sz val="11"/>
      <color theme="2"/>
      <name val="Corbel"/>
      <family val="2"/>
      <scheme val="minor"/>
    </font>
    <font>
      <b/>
      <sz val="14"/>
      <color theme="1"/>
      <name val="Corbel"/>
      <family val="2"/>
      <scheme val="minor"/>
    </font>
    <font>
      <b/>
      <sz val="14"/>
      <color theme="0"/>
      <name val="Corbel"/>
      <family val="2"/>
      <scheme val="minor"/>
    </font>
    <font>
      <sz val="12"/>
      <color theme="0"/>
      <name val="Corbel"/>
      <family val="2"/>
      <scheme val="minor"/>
    </font>
    <font>
      <b/>
      <sz val="11"/>
      <color rgb="FF0000CC"/>
      <name val="Corbel"/>
      <family val="2"/>
    </font>
    <font>
      <b/>
      <sz val="16"/>
      <color rgb="FF0000CC"/>
      <name val="Corbe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0"/>
      <color theme="1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5700"/>
      <name val="Corbel"/>
      <family val="2"/>
      <scheme val="minor"/>
    </font>
    <font>
      <sz val="12"/>
      <color rgb="FF9C0006"/>
      <name val="Corbel"/>
      <family val="2"/>
      <scheme val="minor"/>
    </font>
    <font>
      <sz val="12"/>
      <color rgb="FF9C5700"/>
      <name val="Corbel"/>
      <family val="2"/>
      <scheme val="minor"/>
    </font>
    <font>
      <sz val="12"/>
      <color theme="0"/>
      <name val="Corbel"/>
      <family val="2"/>
    </font>
    <font>
      <sz val="12"/>
      <color theme="0"/>
      <name val="Calibri"/>
      <family val="2"/>
    </font>
    <font>
      <sz val="12"/>
      <color rgb="FF9C0006"/>
      <name val="Calibri"/>
      <family val="2"/>
    </font>
    <font>
      <sz val="12"/>
      <color rgb="FF9C0006"/>
      <name val="Corbe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Fill="1" applyAlignment="1" applyProtection="1">
      <alignment horizontal="left"/>
    </xf>
    <xf numFmtId="0" fontId="3" fillId="0" borderId="1" xfId="0" applyFont="1" applyBorder="1" applyProtection="1"/>
    <xf numFmtId="164" fontId="3" fillId="0" borderId="1" xfId="0" applyNumberFormat="1" applyFont="1" applyBorder="1" applyProtection="1"/>
    <xf numFmtId="0" fontId="0" fillId="2" borderId="1" xfId="0" applyFont="1" applyFill="1" applyBorder="1" applyProtection="1"/>
    <xf numFmtId="0" fontId="5" fillId="0" borderId="1" xfId="0" applyFont="1" applyBorder="1" applyProtection="1"/>
    <xf numFmtId="3" fontId="0" fillId="2" borderId="1" xfId="0" applyNumberFormat="1" applyFill="1" applyBorder="1" applyProtection="1"/>
    <xf numFmtId="3" fontId="0" fillId="3" borderId="1" xfId="0" applyNumberFormat="1" applyFill="1" applyBorder="1" applyProtection="1"/>
    <xf numFmtId="0" fontId="5" fillId="0" borderId="1" xfId="0" applyFont="1" applyFill="1" applyBorder="1" applyProtection="1"/>
    <xf numFmtId="3" fontId="0" fillId="0" borderId="0" xfId="0" applyNumberFormat="1" applyProtection="1"/>
    <xf numFmtId="0" fontId="0" fillId="2" borderId="1" xfId="0" applyFill="1" applyBorder="1" applyProtection="1"/>
    <xf numFmtId="3" fontId="0" fillId="0" borderId="1" xfId="0" applyNumberFormat="1" applyBorder="1" applyProtection="1"/>
    <xf numFmtId="166" fontId="0" fillId="2" borderId="1" xfId="1" applyNumberFormat="1" applyFont="1" applyFill="1" applyBorder="1" applyProtection="1"/>
    <xf numFmtId="0" fontId="8" fillId="0" borderId="0" xfId="0" applyFont="1" applyProtection="1"/>
    <xf numFmtId="3" fontId="0" fillId="4" borderId="1" xfId="0" applyNumberFormat="1" applyFill="1" applyBorder="1" applyProtection="1">
      <protection locked="0"/>
    </xf>
    <xf numFmtId="0" fontId="7" fillId="4" borderId="0" xfId="0" applyFont="1" applyFill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164" fontId="7" fillId="4" borderId="0" xfId="0" applyNumberFormat="1" applyFont="1" applyFill="1" applyAlignment="1" applyProtection="1">
      <alignment horizontal="left"/>
      <protection locked="0"/>
    </xf>
    <xf numFmtId="0" fontId="10" fillId="5" borderId="0" xfId="0" applyFont="1" applyFill="1" applyAlignment="1" applyProtection="1">
      <alignment horizontal="center"/>
    </xf>
    <xf numFmtId="0" fontId="9" fillId="5" borderId="0" xfId="0" applyFont="1" applyFill="1" applyAlignment="1" applyProtection="1">
      <alignment horizontal="center"/>
    </xf>
    <xf numFmtId="165" fontId="3" fillId="4" borderId="0" xfId="0" applyNumberFormat="1" applyFont="1" applyFill="1" applyAlignment="1" applyProtection="1">
      <alignment horizontal="center"/>
      <protection locked="0"/>
    </xf>
    <xf numFmtId="9" fontId="3" fillId="4" borderId="0" xfId="1" applyFont="1" applyFill="1" applyAlignment="1" applyProtection="1">
      <alignment horizontal="center"/>
      <protection locked="0"/>
    </xf>
    <xf numFmtId="3" fontId="3" fillId="4" borderId="0" xfId="1" applyNumberFormat="1" applyFont="1" applyFill="1" applyAlignment="1" applyProtection="1">
      <alignment horizontal="center"/>
      <protection locked="0"/>
    </xf>
    <xf numFmtId="3" fontId="11" fillId="0" borderId="0" xfId="0" applyNumberFormat="1" applyFont="1" applyProtection="1"/>
    <xf numFmtId="164" fontId="10" fillId="5" borderId="3" xfId="0" applyNumberFormat="1" applyFont="1" applyFill="1" applyBorder="1" applyProtection="1"/>
    <xf numFmtId="3" fontId="0" fillId="4" borderId="3" xfId="0" applyNumberFormat="1" applyFill="1" applyBorder="1" applyProtection="1">
      <protection locked="0"/>
    </xf>
    <xf numFmtId="3" fontId="0" fillId="2" borderId="3" xfId="0" applyNumberFormat="1" applyFill="1" applyBorder="1" applyProtection="1"/>
    <xf numFmtId="166" fontId="0" fillId="2" borderId="3" xfId="1" applyNumberFormat="1" applyFont="1" applyFill="1" applyBorder="1" applyProtection="1"/>
    <xf numFmtId="0" fontId="4" fillId="0" borderId="4" xfId="0" applyFont="1" applyBorder="1" applyProtection="1"/>
    <xf numFmtId="0" fontId="0" fillId="0" borderId="4" xfId="0" applyBorder="1" applyProtection="1"/>
    <xf numFmtId="164" fontId="3" fillId="0" borderId="5" xfId="0" applyNumberFormat="1" applyFont="1" applyBorder="1" applyProtection="1"/>
    <xf numFmtId="3" fontId="0" fillId="4" borderId="5" xfId="0" applyNumberFormat="1" applyFill="1" applyBorder="1" applyProtection="1">
      <protection locked="0"/>
    </xf>
    <xf numFmtId="3" fontId="0" fillId="2" borderId="5" xfId="0" applyNumberFormat="1" applyFill="1" applyBorder="1" applyProtection="1"/>
    <xf numFmtId="3" fontId="0" fillId="0" borderId="4" xfId="0" applyNumberFormat="1" applyBorder="1" applyProtection="1"/>
    <xf numFmtId="166" fontId="0" fillId="2" borderId="5" xfId="1" applyNumberFormat="1" applyFont="1" applyFill="1" applyBorder="1" applyProtection="1"/>
    <xf numFmtId="3" fontId="11" fillId="0" borderId="4" xfId="0" applyNumberFormat="1" applyFont="1" applyBorder="1" applyProtection="1"/>
    <xf numFmtId="3" fontId="0" fillId="0" borderId="5" xfId="0" applyNumberFormat="1" applyBorder="1" applyProtection="1"/>
    <xf numFmtId="0" fontId="4" fillId="6" borderId="6" xfId="0" applyFont="1" applyFill="1" applyBorder="1" applyProtection="1"/>
    <xf numFmtId="0" fontId="12" fillId="6" borderId="2" xfId="0" applyFont="1" applyFill="1" applyBorder="1" applyAlignment="1" applyProtection="1">
      <alignment horizontal="right"/>
    </xf>
    <xf numFmtId="0" fontId="13" fillId="7" borderId="6" xfId="0" applyFont="1" applyFill="1" applyBorder="1" applyProtection="1"/>
    <xf numFmtId="0" fontId="14" fillId="7" borderId="6" xfId="0" applyFont="1" applyFill="1" applyBorder="1" applyProtection="1"/>
    <xf numFmtId="0" fontId="16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4" fillId="4" borderId="0" xfId="0" applyFont="1" applyFill="1" applyProtection="1"/>
    <xf numFmtId="0" fontId="19" fillId="0" borderId="0" xfId="0" applyFont="1" applyProtection="1"/>
    <xf numFmtId="3" fontId="0" fillId="2" borderId="3" xfId="0" applyNumberFormat="1" applyFill="1" applyBorder="1"/>
    <xf numFmtId="3" fontId="0" fillId="2" borderId="1" xfId="0" applyNumberFormat="1" applyFill="1" applyBorder="1"/>
    <xf numFmtId="4" fontId="3" fillId="4" borderId="0" xfId="1" applyNumberFormat="1" applyFont="1" applyFill="1" applyAlignment="1" applyProtection="1">
      <alignment horizontal="center"/>
      <protection locked="0"/>
    </xf>
    <xf numFmtId="3" fontId="22" fillId="8" borderId="0" xfId="2" applyNumberFormat="1" applyFont="1" applyAlignment="1" applyProtection="1">
      <alignment horizontal="center" vertical="center"/>
    </xf>
    <xf numFmtId="3" fontId="23" fillId="9" borderId="0" xfId="3" applyNumberFormat="1" applyFont="1" applyAlignment="1" applyProtection="1">
      <alignment horizontal="center" wrapText="1"/>
    </xf>
    <xf numFmtId="3" fontId="24" fillId="1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right" vertical="center"/>
    </xf>
  </cellXfs>
  <cellStyles count="4">
    <cellStyle name="Neutral" xfId="3" builtinId="28"/>
    <cellStyle name="Prozent" xfId="1" builtinId="5"/>
    <cellStyle name="Schlecht" xfId="2" builtinId="27"/>
    <cellStyle name="Standard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99"/>
      <color rgb="FF1C5687"/>
      <color rgb="FF85458A"/>
      <color rgb="FF4C7D7A"/>
      <color rgb="FFFFB500"/>
      <color rgb="FFB2B4AE"/>
      <color rgb="FF00CC00"/>
      <color rgb="FFAF6D04"/>
      <color rgb="FF00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744640718645681E-2"/>
          <c:y val="9.1999878789574038E-2"/>
          <c:w val="0.92022094445781211"/>
          <c:h val="0.74191806175205011"/>
        </c:manualLayout>
      </c:layout>
      <c:areaChart>
        <c:grouping val="standard"/>
        <c:varyColors val="0"/>
        <c:ser>
          <c:idx val="5"/>
          <c:order val="5"/>
          <c:tx>
            <c:strRef>
              <c:f>SPOR_Template!$A$25</c:f>
              <c:strCache>
                <c:ptCount val="1"/>
                <c:pt idx="0">
                  <c:v>Act./Proj. Inventory</c:v>
                </c:pt>
              </c:strCache>
            </c:strRef>
          </c:tx>
          <c:spPr>
            <a:solidFill>
              <a:srgbClr val="B2B4AE"/>
            </a:solidFill>
          </c:spPr>
          <c:val>
            <c:numRef>
              <c:f>SPOR_Template!$B$25:$Y$25</c:f>
              <c:numCache>
                <c:formatCode>#,##0</c:formatCode>
                <c:ptCount val="24"/>
                <c:pt idx="0">
                  <c:v>1400</c:v>
                </c:pt>
                <c:pt idx="1">
                  <c:v>1500</c:v>
                </c:pt>
                <c:pt idx="2">
                  <c:v>1300</c:v>
                </c:pt>
                <c:pt idx="3">
                  <c:v>1100</c:v>
                </c:pt>
                <c:pt idx="4">
                  <c:v>500</c:v>
                </c:pt>
                <c:pt idx="5">
                  <c:v>400</c:v>
                </c:pt>
                <c:pt idx="6">
                  <c:v>600</c:v>
                </c:pt>
                <c:pt idx="7">
                  <c:v>1275</c:v>
                </c:pt>
                <c:pt idx="8">
                  <c:v>1750</c:v>
                </c:pt>
                <c:pt idx="9">
                  <c:v>1600</c:v>
                </c:pt>
                <c:pt idx="10">
                  <c:v>1500</c:v>
                </c:pt>
                <c:pt idx="11">
                  <c:v>1450</c:v>
                </c:pt>
                <c:pt idx="12">
                  <c:v>1450</c:v>
                </c:pt>
                <c:pt idx="13">
                  <c:v>1450</c:v>
                </c:pt>
                <c:pt idx="14">
                  <c:v>1500</c:v>
                </c:pt>
                <c:pt idx="15">
                  <c:v>1600</c:v>
                </c:pt>
                <c:pt idx="16">
                  <c:v>1950</c:v>
                </c:pt>
                <c:pt idx="17">
                  <c:v>2025</c:v>
                </c:pt>
                <c:pt idx="18">
                  <c:v>2025</c:v>
                </c:pt>
                <c:pt idx="19">
                  <c:v>1925</c:v>
                </c:pt>
                <c:pt idx="20">
                  <c:v>1850</c:v>
                </c:pt>
                <c:pt idx="21">
                  <c:v>1850</c:v>
                </c:pt>
                <c:pt idx="22">
                  <c:v>1850</c:v>
                </c:pt>
                <c:pt idx="23">
                  <c:v>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9-4F30-B2E6-31F3CF7BB22D}"/>
            </c:ext>
          </c:extLst>
        </c:ser>
        <c:ser>
          <c:idx val="3"/>
          <c:order val="6"/>
          <c:tx>
            <c:strRef>
              <c:f>SPOR_Template!$A$26</c:f>
              <c:strCache>
                <c:ptCount val="1"/>
                <c:pt idx="0">
                  <c:v>Proj. Supply Gap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val>
            <c:numRef>
              <c:f>SPOR_Template!$B$26:$Y$26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5-46D6-AC88-85CA7E772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95912"/>
        <c:axId val="190096304"/>
      </c:areaChart>
      <c:barChart>
        <c:barDir val="col"/>
        <c:grouping val="clustered"/>
        <c:varyColors val="0"/>
        <c:ser>
          <c:idx val="0"/>
          <c:order val="0"/>
          <c:tx>
            <c:strRef>
              <c:f>SPOR_Template!$A$39</c:f>
              <c:strCache>
                <c:ptCount val="1"/>
                <c:pt idx="0">
                  <c:v>Supply Plan Final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SPOR_Template!$B$13:$Y$13</c:f>
              <c:numCache>
                <c:formatCode>[$-409]mmm\-yy;@</c:formatCode>
                <c:ptCount val="24"/>
                <c:pt idx="0">
                  <c:v>43877</c:v>
                </c:pt>
                <c:pt idx="1">
                  <c:v>43907</c:v>
                </c:pt>
                <c:pt idx="2">
                  <c:v>43937</c:v>
                </c:pt>
                <c:pt idx="3">
                  <c:v>43967</c:v>
                </c:pt>
                <c:pt idx="4">
                  <c:v>43997</c:v>
                </c:pt>
                <c:pt idx="5">
                  <c:v>44027</c:v>
                </c:pt>
                <c:pt idx="6">
                  <c:v>44057</c:v>
                </c:pt>
                <c:pt idx="7">
                  <c:v>44087</c:v>
                </c:pt>
                <c:pt idx="8">
                  <c:v>44117</c:v>
                </c:pt>
                <c:pt idx="9">
                  <c:v>44147</c:v>
                </c:pt>
                <c:pt idx="10">
                  <c:v>44177</c:v>
                </c:pt>
                <c:pt idx="11">
                  <c:v>44207</c:v>
                </c:pt>
                <c:pt idx="12">
                  <c:v>44237</c:v>
                </c:pt>
                <c:pt idx="13">
                  <c:v>44267</c:v>
                </c:pt>
                <c:pt idx="14">
                  <c:v>44297</c:v>
                </c:pt>
                <c:pt idx="15">
                  <c:v>44327</c:v>
                </c:pt>
                <c:pt idx="16">
                  <c:v>44357</c:v>
                </c:pt>
                <c:pt idx="17">
                  <c:v>44387</c:v>
                </c:pt>
                <c:pt idx="18">
                  <c:v>44417</c:v>
                </c:pt>
                <c:pt idx="19">
                  <c:v>44447</c:v>
                </c:pt>
                <c:pt idx="20">
                  <c:v>44477</c:v>
                </c:pt>
                <c:pt idx="21">
                  <c:v>44507</c:v>
                </c:pt>
                <c:pt idx="22">
                  <c:v>44537</c:v>
                </c:pt>
                <c:pt idx="23">
                  <c:v>44567</c:v>
                </c:pt>
              </c:numCache>
            </c:numRef>
          </c:cat>
          <c:val>
            <c:numRef>
              <c:f>SPOR_Template!$B$39:$Y$39</c:f>
              <c:numCache>
                <c:formatCode>#,##0</c:formatCode>
                <c:ptCount val="24"/>
                <c:pt idx="0">
                  <c:v>1050</c:v>
                </c:pt>
                <c:pt idx="1">
                  <c:v>1075</c:v>
                </c:pt>
                <c:pt idx="2">
                  <c:v>1050</c:v>
                </c:pt>
                <c:pt idx="3">
                  <c:v>1250</c:v>
                </c:pt>
                <c:pt idx="4">
                  <c:v>1250</c:v>
                </c:pt>
                <c:pt idx="5">
                  <c:v>1000</c:v>
                </c:pt>
                <c:pt idx="6">
                  <c:v>1200</c:v>
                </c:pt>
                <c:pt idx="7">
                  <c:v>1875</c:v>
                </c:pt>
                <c:pt idx="8">
                  <c:v>1875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1450</c:v>
                </c:pt>
                <c:pt idx="17">
                  <c:v>1275</c:v>
                </c:pt>
                <c:pt idx="18">
                  <c:v>1300</c:v>
                </c:pt>
                <c:pt idx="19">
                  <c:v>1300</c:v>
                </c:pt>
                <c:pt idx="20">
                  <c:v>1275</c:v>
                </c:pt>
                <c:pt idx="21">
                  <c:v>1300</c:v>
                </c:pt>
                <c:pt idx="22">
                  <c:v>1200</c:v>
                </c:pt>
                <c:pt idx="23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9-4F30-B2E6-31F3CF7BB22D}"/>
            </c:ext>
          </c:extLst>
        </c:ser>
        <c:ser>
          <c:idx val="1"/>
          <c:order val="1"/>
          <c:tx>
            <c:strRef>
              <c:f>SPOR_Template!$A$44</c:f>
              <c:strCache>
                <c:ptCount val="1"/>
                <c:pt idx="0">
                  <c:v>Actual Supply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SPOR_Template!$B$13:$Y$13</c:f>
              <c:numCache>
                <c:formatCode>[$-409]mmm\-yy;@</c:formatCode>
                <c:ptCount val="24"/>
                <c:pt idx="0">
                  <c:v>43877</c:v>
                </c:pt>
                <c:pt idx="1">
                  <c:v>43907</c:v>
                </c:pt>
                <c:pt idx="2">
                  <c:v>43937</c:v>
                </c:pt>
                <c:pt idx="3">
                  <c:v>43967</c:v>
                </c:pt>
                <c:pt idx="4">
                  <c:v>43997</c:v>
                </c:pt>
                <c:pt idx="5">
                  <c:v>44027</c:v>
                </c:pt>
                <c:pt idx="6">
                  <c:v>44057</c:v>
                </c:pt>
                <c:pt idx="7">
                  <c:v>44087</c:v>
                </c:pt>
                <c:pt idx="8">
                  <c:v>44117</c:v>
                </c:pt>
                <c:pt idx="9">
                  <c:v>44147</c:v>
                </c:pt>
                <c:pt idx="10">
                  <c:v>44177</c:v>
                </c:pt>
                <c:pt idx="11">
                  <c:v>44207</c:v>
                </c:pt>
                <c:pt idx="12">
                  <c:v>44237</c:v>
                </c:pt>
                <c:pt idx="13">
                  <c:v>44267</c:v>
                </c:pt>
                <c:pt idx="14">
                  <c:v>44297</c:v>
                </c:pt>
                <c:pt idx="15">
                  <c:v>44327</c:v>
                </c:pt>
                <c:pt idx="16">
                  <c:v>44357</c:v>
                </c:pt>
                <c:pt idx="17">
                  <c:v>44387</c:v>
                </c:pt>
                <c:pt idx="18">
                  <c:v>44417</c:v>
                </c:pt>
                <c:pt idx="19">
                  <c:v>44447</c:v>
                </c:pt>
                <c:pt idx="20">
                  <c:v>44477</c:v>
                </c:pt>
                <c:pt idx="21">
                  <c:v>44507</c:v>
                </c:pt>
                <c:pt idx="22">
                  <c:v>44537</c:v>
                </c:pt>
                <c:pt idx="23">
                  <c:v>44567</c:v>
                </c:pt>
              </c:numCache>
            </c:numRef>
          </c:cat>
          <c:val>
            <c:numRef>
              <c:f>SPOR_Template!$B$44:$Y$44</c:f>
              <c:numCache>
                <c:formatCode>#,##0</c:formatCode>
                <c:ptCount val="24"/>
                <c:pt idx="0">
                  <c:v>1000</c:v>
                </c:pt>
                <c:pt idx="1">
                  <c:v>1100</c:v>
                </c:pt>
                <c:pt idx="2">
                  <c:v>1000</c:v>
                </c:pt>
                <c:pt idx="3">
                  <c:v>600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9-4F30-B2E6-31F3CF7B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20"/>
        <c:axId val="190095912"/>
        <c:axId val="190096304"/>
      </c:barChart>
      <c:lineChart>
        <c:grouping val="standard"/>
        <c:varyColors val="0"/>
        <c:ser>
          <c:idx val="2"/>
          <c:order val="2"/>
          <c:tx>
            <c:strRef>
              <c:f>SPOR_Template!$A$16</c:f>
              <c:strCache>
                <c:ptCount val="1"/>
                <c:pt idx="0">
                  <c:v>NRP Final</c:v>
                </c:pt>
              </c:strCache>
            </c:strRef>
          </c:tx>
          <c:spPr>
            <a:ln w="44450">
              <a:solidFill>
                <a:schemeClr val="accent1">
                  <a:lumMod val="7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SPOR_Template!$B$16:$Y$16</c:f>
              <c:numCache>
                <c:formatCode>#,##0</c:formatCode>
                <c:ptCount val="24"/>
                <c:pt idx="0">
                  <c:v>1050</c:v>
                </c:pt>
                <c:pt idx="1">
                  <c:v>950</c:v>
                </c:pt>
                <c:pt idx="2">
                  <c:v>950</c:v>
                </c:pt>
                <c:pt idx="3">
                  <c:v>1000</c:v>
                </c:pt>
                <c:pt idx="4">
                  <c:v>1100</c:v>
                </c:pt>
                <c:pt idx="5">
                  <c:v>1100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1400</c:v>
                </c:pt>
                <c:pt idx="10">
                  <c:v>1350</c:v>
                </c:pt>
                <c:pt idx="11">
                  <c:v>1300</c:v>
                </c:pt>
                <c:pt idx="12">
                  <c:v>1250</c:v>
                </c:pt>
                <c:pt idx="13">
                  <c:v>1250</c:v>
                </c:pt>
                <c:pt idx="14">
                  <c:v>1200</c:v>
                </c:pt>
                <c:pt idx="15">
                  <c:v>1150</c:v>
                </c:pt>
                <c:pt idx="16">
                  <c:v>1100</c:v>
                </c:pt>
                <c:pt idx="17">
                  <c:v>1200</c:v>
                </c:pt>
                <c:pt idx="18">
                  <c:v>1300</c:v>
                </c:pt>
                <c:pt idx="19">
                  <c:v>1400</c:v>
                </c:pt>
                <c:pt idx="20">
                  <c:v>1350</c:v>
                </c:pt>
                <c:pt idx="21">
                  <c:v>1300</c:v>
                </c:pt>
                <c:pt idx="22">
                  <c:v>1200</c:v>
                </c:pt>
                <c:pt idx="2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9-4F30-B2E6-31F3CF7BB22D}"/>
            </c:ext>
          </c:extLst>
        </c:ser>
        <c:ser>
          <c:idx val="7"/>
          <c:order val="3"/>
          <c:tx>
            <c:strRef>
              <c:f>SPOR_Template!$A$18</c:f>
              <c:strCache>
                <c:ptCount val="1"/>
                <c:pt idx="0">
                  <c:v>Actual Demand (Shipments)</c:v>
                </c:pt>
              </c:strCache>
            </c:strRef>
          </c:tx>
          <c:spPr>
            <a:ln w="38100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x"/>
            <c:size val="6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SPOR_Template!$B$18:$Y$18</c:f>
              <c:numCache>
                <c:formatCode>#,##0</c:formatCode>
                <c:ptCount val="24"/>
                <c:pt idx="0">
                  <c:v>1100</c:v>
                </c:pt>
                <c:pt idx="1">
                  <c:v>1000</c:v>
                </c:pt>
                <c:pt idx="2">
                  <c:v>1200</c:v>
                </c:pt>
                <c:pt idx="3">
                  <c:v>800</c:v>
                </c:pt>
                <c:pt idx="4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99-4F30-B2E6-31F3CF7BB22D}"/>
            </c:ext>
          </c:extLst>
        </c:ser>
        <c:ser>
          <c:idx val="4"/>
          <c:order val="4"/>
          <c:tx>
            <c:strRef>
              <c:f>SPOR_Template!$A$22</c:f>
              <c:strCache>
                <c:ptCount val="1"/>
                <c:pt idx="0">
                  <c:v>Safety Stock Target</c:v>
                </c:pt>
              </c:strCache>
            </c:strRef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SPOR_Template!$B$22:$Y$22</c:f>
              <c:numCache>
                <c:formatCode>#,##0</c:formatCode>
                <c:ptCount val="24"/>
                <c:pt idx="0">
                  <c:v>966.66666666666663</c:v>
                </c:pt>
                <c:pt idx="1">
                  <c:v>1016.6666666666666</c:v>
                </c:pt>
                <c:pt idx="2">
                  <c:v>1066.6666666666667</c:v>
                </c:pt>
                <c:pt idx="3">
                  <c:v>1066.6666666666667</c:v>
                </c:pt>
                <c:pt idx="4">
                  <c:v>1100</c:v>
                </c:pt>
                <c:pt idx="5">
                  <c:v>1200</c:v>
                </c:pt>
                <c:pt idx="6">
                  <c:v>1333.3333333333333</c:v>
                </c:pt>
                <c:pt idx="7">
                  <c:v>1383.3333333333333</c:v>
                </c:pt>
                <c:pt idx="8">
                  <c:v>1350</c:v>
                </c:pt>
                <c:pt idx="9">
                  <c:v>1300</c:v>
                </c:pt>
                <c:pt idx="10">
                  <c:v>1266.6666666666667</c:v>
                </c:pt>
                <c:pt idx="11">
                  <c:v>1233.3333333333333</c:v>
                </c:pt>
                <c:pt idx="12">
                  <c:v>1200</c:v>
                </c:pt>
                <c:pt idx="13">
                  <c:v>1150</c:v>
                </c:pt>
                <c:pt idx="14">
                  <c:v>1150</c:v>
                </c:pt>
                <c:pt idx="15">
                  <c:v>1200</c:v>
                </c:pt>
                <c:pt idx="16">
                  <c:v>1300</c:v>
                </c:pt>
                <c:pt idx="17">
                  <c:v>1350</c:v>
                </c:pt>
                <c:pt idx="18">
                  <c:v>1350</c:v>
                </c:pt>
                <c:pt idx="19">
                  <c:v>1283.3333333333333</c:v>
                </c:pt>
                <c:pt idx="20">
                  <c:v>1233.3333333333333</c:v>
                </c:pt>
                <c:pt idx="21">
                  <c:v>1233.3333333333333</c:v>
                </c:pt>
                <c:pt idx="22">
                  <c:v>1233.3333333333333</c:v>
                </c:pt>
                <c:pt idx="23">
                  <c:v>1233.3333333333333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9-4F30-B2E6-31F3CF7B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5912"/>
        <c:axId val="190096304"/>
      </c:lineChart>
      <c:dateAx>
        <c:axId val="19009591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90096304"/>
        <c:crosses val="autoZero"/>
        <c:auto val="1"/>
        <c:lblOffset val="100"/>
        <c:baseTimeUnit val="months"/>
      </c:dateAx>
      <c:valAx>
        <c:axId val="190096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500"/>
                </a:pPr>
                <a:r>
                  <a:rPr lang="de-DE" sz="1500"/>
                  <a:t>Units</a:t>
                </a:r>
              </a:p>
            </c:rich>
          </c:tx>
          <c:layout>
            <c:manualLayout>
              <c:xMode val="edge"/>
              <c:yMode val="edge"/>
              <c:x val="6.9881201956674234E-5"/>
              <c:y val="0.4366046162524533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90095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347404949643348E-3"/>
          <c:y val="0.92917954527442514"/>
          <c:w val="0.97650615264537133"/>
          <c:h val="7.0820454765591886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48923260902659E-2"/>
          <c:y val="9.1999878789574038E-2"/>
          <c:w val="0.92841670472532656"/>
          <c:h val="0.7359973986377812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SPOR_Template!$A$44</c:f>
              <c:strCache>
                <c:ptCount val="1"/>
                <c:pt idx="0">
                  <c:v>Actual Supply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SPOR_Template!$B$13:$Y$13</c:f>
              <c:numCache>
                <c:formatCode>[$-409]mmm\-yy;@</c:formatCode>
                <c:ptCount val="24"/>
                <c:pt idx="0">
                  <c:v>43877</c:v>
                </c:pt>
                <c:pt idx="1">
                  <c:v>43907</c:v>
                </c:pt>
                <c:pt idx="2">
                  <c:v>43937</c:v>
                </c:pt>
                <c:pt idx="3">
                  <c:v>43967</c:v>
                </c:pt>
                <c:pt idx="4">
                  <c:v>43997</c:v>
                </c:pt>
                <c:pt idx="5">
                  <c:v>44027</c:v>
                </c:pt>
                <c:pt idx="6">
                  <c:v>44057</c:v>
                </c:pt>
                <c:pt idx="7">
                  <c:v>44087</c:v>
                </c:pt>
                <c:pt idx="8">
                  <c:v>44117</c:v>
                </c:pt>
                <c:pt idx="9">
                  <c:v>44147</c:v>
                </c:pt>
                <c:pt idx="10">
                  <c:v>44177</c:v>
                </c:pt>
                <c:pt idx="11">
                  <c:v>44207</c:v>
                </c:pt>
                <c:pt idx="12">
                  <c:v>44237</c:v>
                </c:pt>
                <c:pt idx="13">
                  <c:v>44267</c:v>
                </c:pt>
                <c:pt idx="14">
                  <c:v>44297</c:v>
                </c:pt>
                <c:pt idx="15">
                  <c:v>44327</c:v>
                </c:pt>
                <c:pt idx="16">
                  <c:v>44357</c:v>
                </c:pt>
                <c:pt idx="17">
                  <c:v>44387</c:v>
                </c:pt>
                <c:pt idx="18">
                  <c:v>44417</c:v>
                </c:pt>
                <c:pt idx="19">
                  <c:v>44447</c:v>
                </c:pt>
                <c:pt idx="20">
                  <c:v>44477</c:v>
                </c:pt>
                <c:pt idx="21">
                  <c:v>44507</c:v>
                </c:pt>
                <c:pt idx="22">
                  <c:v>44537</c:v>
                </c:pt>
                <c:pt idx="23">
                  <c:v>44567</c:v>
                </c:pt>
              </c:numCache>
            </c:numRef>
          </c:cat>
          <c:val>
            <c:numRef>
              <c:f>SPOR_Template!$B$44:$Y$44</c:f>
              <c:numCache>
                <c:formatCode>#,##0</c:formatCode>
                <c:ptCount val="24"/>
                <c:pt idx="0">
                  <c:v>1000</c:v>
                </c:pt>
                <c:pt idx="1">
                  <c:v>1100</c:v>
                </c:pt>
                <c:pt idx="2">
                  <c:v>1000</c:v>
                </c:pt>
                <c:pt idx="3">
                  <c:v>600</c:v>
                </c:pt>
                <c:pt idx="4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D-42AA-B946-EE6740E2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50"/>
        <c:axId val="190097088"/>
        <c:axId val="239896008"/>
      </c:barChart>
      <c:lineChart>
        <c:grouping val="standard"/>
        <c:varyColors val="0"/>
        <c:ser>
          <c:idx val="0"/>
          <c:order val="0"/>
          <c:tx>
            <c:strRef>
              <c:f>SPOR_Template!$A$39</c:f>
              <c:strCache>
                <c:ptCount val="1"/>
                <c:pt idx="0">
                  <c:v>Supply Plan Final</c:v>
                </c:pt>
              </c:strCache>
            </c:strRef>
          </c:tx>
          <c:spPr>
            <a:ln w="44450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1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SPOR_Template!$B$13:$Y$13</c:f>
              <c:numCache>
                <c:formatCode>[$-409]mmm\-yy;@</c:formatCode>
                <c:ptCount val="24"/>
                <c:pt idx="0">
                  <c:v>43877</c:v>
                </c:pt>
                <c:pt idx="1">
                  <c:v>43907</c:v>
                </c:pt>
                <c:pt idx="2">
                  <c:v>43937</c:v>
                </c:pt>
                <c:pt idx="3">
                  <c:v>43967</c:v>
                </c:pt>
                <c:pt idx="4">
                  <c:v>43997</c:v>
                </c:pt>
                <c:pt idx="5">
                  <c:v>44027</c:v>
                </c:pt>
                <c:pt idx="6">
                  <c:v>44057</c:v>
                </c:pt>
                <c:pt idx="7">
                  <c:v>44087</c:v>
                </c:pt>
                <c:pt idx="8">
                  <c:v>44117</c:v>
                </c:pt>
                <c:pt idx="9">
                  <c:v>44147</c:v>
                </c:pt>
                <c:pt idx="10">
                  <c:v>44177</c:v>
                </c:pt>
                <c:pt idx="11">
                  <c:v>44207</c:v>
                </c:pt>
                <c:pt idx="12">
                  <c:v>44237</c:v>
                </c:pt>
                <c:pt idx="13">
                  <c:v>44267</c:v>
                </c:pt>
                <c:pt idx="14">
                  <c:v>44297</c:v>
                </c:pt>
                <c:pt idx="15">
                  <c:v>44327</c:v>
                </c:pt>
                <c:pt idx="16">
                  <c:v>44357</c:v>
                </c:pt>
                <c:pt idx="17">
                  <c:v>44387</c:v>
                </c:pt>
                <c:pt idx="18">
                  <c:v>44417</c:v>
                </c:pt>
                <c:pt idx="19">
                  <c:v>44447</c:v>
                </c:pt>
                <c:pt idx="20">
                  <c:v>44477</c:v>
                </c:pt>
                <c:pt idx="21">
                  <c:v>44507</c:v>
                </c:pt>
                <c:pt idx="22">
                  <c:v>44537</c:v>
                </c:pt>
                <c:pt idx="23">
                  <c:v>44567</c:v>
                </c:pt>
              </c:numCache>
            </c:numRef>
          </c:cat>
          <c:val>
            <c:numRef>
              <c:f>SPOR_Template!$B$39:$Y$39</c:f>
              <c:numCache>
                <c:formatCode>#,##0</c:formatCode>
                <c:ptCount val="24"/>
                <c:pt idx="0">
                  <c:v>1050</c:v>
                </c:pt>
                <c:pt idx="1">
                  <c:v>1075</c:v>
                </c:pt>
                <c:pt idx="2">
                  <c:v>1050</c:v>
                </c:pt>
                <c:pt idx="3">
                  <c:v>1250</c:v>
                </c:pt>
                <c:pt idx="4">
                  <c:v>1250</c:v>
                </c:pt>
                <c:pt idx="5">
                  <c:v>1000</c:v>
                </c:pt>
                <c:pt idx="6">
                  <c:v>1200</c:v>
                </c:pt>
                <c:pt idx="7">
                  <c:v>1875</c:v>
                </c:pt>
                <c:pt idx="8">
                  <c:v>1875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1450</c:v>
                </c:pt>
                <c:pt idx="17">
                  <c:v>1275</c:v>
                </c:pt>
                <c:pt idx="18">
                  <c:v>1300</c:v>
                </c:pt>
                <c:pt idx="19">
                  <c:v>1300</c:v>
                </c:pt>
                <c:pt idx="20">
                  <c:v>1275</c:v>
                </c:pt>
                <c:pt idx="21">
                  <c:v>1300</c:v>
                </c:pt>
                <c:pt idx="22">
                  <c:v>1200</c:v>
                </c:pt>
                <c:pt idx="2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D-42AA-B946-EE6740E228E5}"/>
            </c:ext>
          </c:extLst>
        </c:ser>
        <c:ser>
          <c:idx val="2"/>
          <c:order val="2"/>
          <c:tx>
            <c:strRef>
              <c:f>SPOR_Template!$A$16</c:f>
              <c:strCache>
                <c:ptCount val="1"/>
                <c:pt idx="0">
                  <c:v>NRP Final</c:v>
                </c:pt>
              </c:strCache>
            </c:strRef>
          </c:tx>
          <c:spPr>
            <a:ln w="44450">
              <a:solidFill>
                <a:schemeClr val="accent5">
                  <a:lumMod val="7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SPOR_Template!$B$16:$Y$16</c:f>
              <c:numCache>
                <c:formatCode>#,##0</c:formatCode>
                <c:ptCount val="24"/>
                <c:pt idx="0">
                  <c:v>1050</c:v>
                </c:pt>
                <c:pt idx="1">
                  <c:v>950</c:v>
                </c:pt>
                <c:pt idx="2">
                  <c:v>950</c:v>
                </c:pt>
                <c:pt idx="3">
                  <c:v>1000</c:v>
                </c:pt>
                <c:pt idx="4">
                  <c:v>1100</c:v>
                </c:pt>
                <c:pt idx="5">
                  <c:v>1100</c:v>
                </c:pt>
                <c:pt idx="6">
                  <c:v>1000</c:v>
                </c:pt>
                <c:pt idx="7">
                  <c:v>1200</c:v>
                </c:pt>
                <c:pt idx="8">
                  <c:v>1400</c:v>
                </c:pt>
                <c:pt idx="9">
                  <c:v>1400</c:v>
                </c:pt>
                <c:pt idx="10">
                  <c:v>1350</c:v>
                </c:pt>
                <c:pt idx="11">
                  <c:v>1300</c:v>
                </c:pt>
                <c:pt idx="12">
                  <c:v>1250</c:v>
                </c:pt>
                <c:pt idx="13">
                  <c:v>1250</c:v>
                </c:pt>
                <c:pt idx="14">
                  <c:v>1200</c:v>
                </c:pt>
                <c:pt idx="15">
                  <c:v>1150</c:v>
                </c:pt>
                <c:pt idx="16">
                  <c:v>1100</c:v>
                </c:pt>
                <c:pt idx="17">
                  <c:v>1200</c:v>
                </c:pt>
                <c:pt idx="18">
                  <c:v>1300</c:v>
                </c:pt>
                <c:pt idx="19">
                  <c:v>1400</c:v>
                </c:pt>
                <c:pt idx="20">
                  <c:v>1350</c:v>
                </c:pt>
                <c:pt idx="21">
                  <c:v>1300</c:v>
                </c:pt>
                <c:pt idx="22">
                  <c:v>1200</c:v>
                </c:pt>
                <c:pt idx="2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BD-42AA-B946-EE6740E228E5}"/>
            </c:ext>
          </c:extLst>
        </c:ser>
        <c:ser>
          <c:idx val="3"/>
          <c:order val="3"/>
          <c:tx>
            <c:strRef>
              <c:f>SPOR_Template!$A$35</c:f>
              <c:strCache>
                <c:ptCount val="1"/>
                <c:pt idx="0">
                  <c:v>Capacity (max)</c:v>
                </c:pt>
              </c:strCache>
            </c:strRef>
          </c:tx>
          <c:spPr>
            <a:ln>
              <a:solidFill>
                <a:schemeClr val="bg1">
                  <a:alpha val="0"/>
                </a:schemeClr>
              </a:solidFill>
            </a:ln>
          </c:spPr>
          <c:marker>
            <c:symbol val="dash"/>
            <c:size val="2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</c:spPr>
          </c:marker>
          <c:val>
            <c:numRef>
              <c:f>SPOR_Template!$B$35:$Y$35</c:f>
              <c:numCache>
                <c:formatCode>#,##0</c:formatCode>
                <c:ptCount val="2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1000</c:v>
                </c:pt>
                <c:pt idx="6">
                  <c:v>1000</c:v>
                </c:pt>
                <c:pt idx="7">
                  <c:v>1875</c:v>
                </c:pt>
                <c:pt idx="8">
                  <c:v>1875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1500</c:v>
                </c:pt>
                <c:pt idx="17">
                  <c:v>1500</c:v>
                </c:pt>
                <c:pt idx="18">
                  <c:v>1500</c:v>
                </c:pt>
                <c:pt idx="19">
                  <c:v>1500</c:v>
                </c:pt>
                <c:pt idx="20">
                  <c:v>1500</c:v>
                </c:pt>
                <c:pt idx="21">
                  <c:v>1500</c:v>
                </c:pt>
                <c:pt idx="22">
                  <c:v>1500</c:v>
                </c:pt>
                <c:pt idx="23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BD-42AA-B946-EE6740E2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97088"/>
        <c:axId val="239896008"/>
      </c:lineChart>
      <c:dateAx>
        <c:axId val="190097088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239896008"/>
        <c:crosses val="autoZero"/>
        <c:auto val="1"/>
        <c:lblOffset val="100"/>
        <c:baseTimeUnit val="months"/>
      </c:dateAx>
      <c:valAx>
        <c:axId val="23989600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500"/>
                </a:pPr>
                <a:r>
                  <a:rPr lang="de-DE" sz="1500"/>
                  <a:t>Units</a:t>
                </a:r>
              </a:p>
            </c:rich>
          </c:tx>
          <c:layout>
            <c:manualLayout>
              <c:xMode val="edge"/>
              <c:yMode val="edge"/>
              <c:x val="6.9881201956674234E-5"/>
              <c:y val="0.4366046162524533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9009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1347404949643348E-3"/>
          <c:y val="0.92917954527442514"/>
          <c:w val="0.97859929458503225"/>
          <c:h val="7.0820454725574938E-2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229610</xdr:colOff>
      <xdr:row>7</xdr:row>
      <xdr:rowOff>80621</xdr:rowOff>
    </xdr:from>
    <xdr:to>
      <xdr:col>39</xdr:col>
      <xdr:colOff>8630</xdr:colOff>
      <xdr:row>28</xdr:row>
      <xdr:rowOff>141581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945860" y="1949902"/>
          <a:ext cx="12113895" cy="4263867"/>
          <a:chOff x="0" y="358140"/>
          <a:chExt cx="10904220" cy="4290060"/>
        </a:xfrm>
        <a:solidFill>
          <a:schemeClr val="bg1">
            <a:lumMod val="85000"/>
          </a:schemeClr>
        </a:solidFill>
      </xdr:grpSpPr>
      <xdr:graphicFrame macro="">
        <xdr:nvGraphicFramePr>
          <xdr:cNvPr id="3" name="Diagram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/>
          </xdr:cNvGraphicFramePr>
        </xdr:nvGraphicFramePr>
        <xdr:xfrm>
          <a:off x="0" y="358140"/>
          <a:ext cx="10904220" cy="42900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SPOR_Template!A9">
        <xdr:nvSpPr>
          <xdr:cNvPr id="4" name="Textfeld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5440079" y="388621"/>
            <a:ext cx="2714226" cy="291233"/>
          </a:xfrm>
          <a:prstGeom prst="rect">
            <a:avLst/>
          </a:prstGeom>
          <a:noFill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r"/>
            <a:fld id="{1D3B1BB7-2166-49B0-96C2-62697E68EA12}" type="TxLink">
              <a:rPr lang="en-US" sz="1500" b="1" i="0" u="none" strike="noStrike">
                <a:solidFill>
                  <a:srgbClr val="000000"/>
                </a:solidFill>
                <a:latin typeface="Calibri"/>
              </a:rPr>
              <a:pPr algn="r"/>
              <a:t>Brand X</a:t>
            </a:fld>
            <a:endParaRPr lang="de-DE" sz="1500" b="1"/>
          </a:p>
        </xdr:txBody>
      </xdr:sp>
      <xdr:sp macro="" textlink="SPOR_Template!A7">
        <xdr:nvSpPr>
          <xdr:cNvPr id="5" name="Textfeld 1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8169006" y="398252"/>
            <a:ext cx="2714226" cy="291233"/>
          </a:xfrm>
          <a:prstGeom prst="rect">
            <a:avLst/>
          </a:prstGeom>
          <a:noFill/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fld id="{C5F3675C-56A9-42C2-B66E-61C286578C80}" type="TxLink">
              <a:rPr lang="en-US" sz="1500" b="1" i="0" u="none" strike="noStrike">
                <a:solidFill>
                  <a:srgbClr val="000000"/>
                </a:solidFill>
                <a:latin typeface="Calibri"/>
              </a:rPr>
              <a:pPr/>
              <a:t>Value Stream X</a:t>
            </a:fld>
            <a:endParaRPr lang="de-DE" sz="1500" b="1"/>
          </a:p>
        </xdr:txBody>
      </xdr:sp>
    </xdr:grpSp>
    <xdr:clientData/>
  </xdr:twoCellAnchor>
  <xdr:twoCellAnchor>
    <xdr:from>
      <xdr:col>25</xdr:col>
      <xdr:colOff>194922</xdr:colOff>
      <xdr:row>33</xdr:row>
      <xdr:rowOff>67690</xdr:rowOff>
    </xdr:from>
    <xdr:to>
      <xdr:col>38</xdr:col>
      <xdr:colOff>855004</xdr:colOff>
      <xdr:row>55</xdr:row>
      <xdr:rowOff>101432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5911172" y="7461471"/>
          <a:ext cx="12113895" cy="4439055"/>
          <a:chOff x="15894347" y="9568019"/>
          <a:chExt cx="10904220" cy="4290060"/>
        </a:xfrm>
      </xdr:grpSpPr>
      <xdr:graphicFrame macro="">
        <xdr:nvGraphicFramePr>
          <xdr:cNvPr id="12" name="Diagramm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aphicFramePr>
            <a:graphicFrameLocks/>
          </xdr:cNvGraphicFramePr>
        </xdr:nvGraphicFramePr>
        <xdr:xfrm>
          <a:off x="15894347" y="9568019"/>
          <a:ext cx="10904220" cy="42900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SPOR_Template!A9">
        <xdr:nvSpPr>
          <xdr:cNvPr id="13" name="Textfeld 1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1238115" y="9647184"/>
            <a:ext cx="2714226" cy="294444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r"/>
            <a:fld id="{1D3B1BB7-2166-49B0-96C2-62697E68EA12}" type="TxLink">
              <a:rPr lang="en-US" sz="1500" b="1" i="0" u="none" strike="noStrike">
                <a:solidFill>
                  <a:srgbClr val="000000"/>
                </a:solidFill>
                <a:latin typeface="Calibri"/>
              </a:rPr>
              <a:pPr algn="r"/>
              <a:t>Brand X</a:t>
            </a:fld>
            <a:endParaRPr lang="de-DE" sz="1500" b="1"/>
          </a:p>
        </xdr:txBody>
      </xdr:sp>
      <xdr:sp macro="" textlink="SPOR_Template!A7">
        <xdr:nvSpPr>
          <xdr:cNvPr id="14" name="Textfeld 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4044740" y="9647184"/>
            <a:ext cx="2714226" cy="294444"/>
          </a:xfrm>
          <a:prstGeom prst="rect">
            <a:avLst/>
          </a:prstGeom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fld id="{C5F3675C-56A9-42C2-B66E-61C286578C80}" type="TxLink">
              <a:rPr lang="en-US" sz="1500" b="1" i="0" u="none" strike="noStrike">
                <a:solidFill>
                  <a:srgbClr val="000000"/>
                </a:solidFill>
                <a:latin typeface="Calibri"/>
              </a:rPr>
              <a:pPr/>
              <a:t>Value Stream X</a:t>
            </a:fld>
            <a:endParaRPr lang="de-DE" sz="1500" b="1"/>
          </a:p>
        </xdr:txBody>
      </xdr:sp>
    </xdr:grpSp>
    <xdr:clientData/>
  </xdr:twoCellAnchor>
  <xdr:twoCellAnchor editAs="oneCell">
    <xdr:from>
      <xdr:col>21</xdr:col>
      <xdr:colOff>23812</xdr:colOff>
      <xdr:row>0</xdr:row>
      <xdr:rowOff>154781</xdr:rowOff>
    </xdr:from>
    <xdr:to>
      <xdr:col>24</xdr:col>
      <xdr:colOff>477955</xdr:colOff>
      <xdr:row>2</xdr:row>
      <xdr:rowOff>84056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CC8771F-44A9-4D00-94EF-EB6F9CB75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49312" y="154781"/>
          <a:ext cx="2097206" cy="536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Rahmen">
  <a:themeElements>
    <a:clrScheme name="Rahmen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Rahmen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Rahm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Z49"/>
  <sheetViews>
    <sheetView showGridLines="0" tabSelected="1" zoomScale="80" zoomScaleNormal="80" workbookViewId="0"/>
  </sheetViews>
  <sheetFormatPr baseColWidth="10" defaultColWidth="11.5" defaultRowHeight="15" x14ac:dyDescent="0.25"/>
  <cols>
    <col min="1" max="1" width="33.25" style="2" customWidth="1"/>
    <col min="2" max="4" width="7.125" style="2" customWidth="1"/>
    <col min="5" max="5" width="7.625" style="2" bestFit="1" customWidth="1"/>
    <col min="6" max="25" width="7.125" style="2" customWidth="1"/>
    <col min="26" max="16384" width="11.5" style="2"/>
  </cols>
  <sheetData>
    <row r="1" spans="1:26" ht="32.25" x14ac:dyDescent="0.5">
      <c r="A1" s="1" t="s">
        <v>1</v>
      </c>
      <c r="G1" s="17"/>
    </row>
    <row r="2" spans="1:26" s="4" customFormat="1" ht="15.75" x14ac:dyDescent="0.25">
      <c r="A2" s="3" t="s">
        <v>10</v>
      </c>
    </row>
    <row r="3" spans="1:26" s="4" customFormat="1" ht="21" x14ac:dyDescent="0.35">
      <c r="A3" s="21">
        <v>44027</v>
      </c>
      <c r="G3" s="45" t="s">
        <v>30</v>
      </c>
      <c r="H3" s="46"/>
      <c r="I3" s="46"/>
      <c r="J3" s="47"/>
      <c r="K3" s="47"/>
      <c r="L3" s="47"/>
    </row>
    <row r="4" spans="1:26" s="4" customFormat="1" ht="15.75" x14ac:dyDescent="0.25">
      <c r="A4" s="3" t="s">
        <v>2</v>
      </c>
    </row>
    <row r="5" spans="1:26" s="4" customFormat="1" ht="21" x14ac:dyDescent="0.35">
      <c r="A5" s="19" t="s">
        <v>43</v>
      </c>
    </row>
    <row r="6" spans="1:26" s="4" customFormat="1" ht="15.75" x14ac:dyDescent="0.25">
      <c r="A6" s="3" t="s">
        <v>7</v>
      </c>
    </row>
    <row r="7" spans="1:26" s="4" customFormat="1" ht="26.25" x14ac:dyDescent="0.4">
      <c r="A7" s="20" t="s">
        <v>41</v>
      </c>
      <c r="Z7" s="48" t="s">
        <v>31</v>
      </c>
    </row>
    <row r="8" spans="1:26" s="4" customFormat="1" ht="15.75" x14ac:dyDescent="0.25">
      <c r="A8" s="3" t="s">
        <v>33</v>
      </c>
    </row>
    <row r="9" spans="1:26" s="4" customFormat="1" ht="23.25" x14ac:dyDescent="0.35">
      <c r="A9" s="20" t="s">
        <v>42</v>
      </c>
    </row>
    <row r="10" spans="1:26" s="4" customFormat="1" ht="18.75" x14ac:dyDescent="0.3">
      <c r="A10" s="3" t="s">
        <v>3</v>
      </c>
      <c r="B10" s="41"/>
      <c r="C10" s="41"/>
      <c r="D10" s="41"/>
      <c r="E10" s="41"/>
      <c r="F10" s="42" t="s">
        <v>27</v>
      </c>
      <c r="G10" s="43" t="s">
        <v>28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6" s="4" customFormat="1" ht="15.75" x14ac:dyDescent="0.25">
      <c r="A11" s="5" t="s">
        <v>4</v>
      </c>
      <c r="F11" s="32"/>
      <c r="G11" s="22" t="s">
        <v>24</v>
      </c>
    </row>
    <row r="12" spans="1:26" x14ac:dyDescent="0.25">
      <c r="F12" s="33"/>
      <c r="G12" s="23" t="s">
        <v>0</v>
      </c>
    </row>
    <row r="13" spans="1:26" s="3" customFormat="1" ht="15.75" x14ac:dyDescent="0.25">
      <c r="A13" s="6" t="s">
        <v>0</v>
      </c>
      <c r="B13" s="7">
        <f>C13-30</f>
        <v>43877</v>
      </c>
      <c r="C13" s="7">
        <f>D13-30</f>
        <v>43907</v>
      </c>
      <c r="D13" s="7">
        <f>E13-30</f>
        <v>43937</v>
      </c>
      <c r="E13" s="7">
        <f>F13-30</f>
        <v>43967</v>
      </c>
      <c r="F13" s="34">
        <f>G13-30</f>
        <v>43997</v>
      </c>
      <c r="G13" s="28">
        <f>A3</f>
        <v>44027</v>
      </c>
      <c r="H13" s="7">
        <f t="shared" ref="H13:Y13" si="0">G13+30</f>
        <v>44057</v>
      </c>
      <c r="I13" s="7">
        <f t="shared" si="0"/>
        <v>44087</v>
      </c>
      <c r="J13" s="7">
        <f t="shared" si="0"/>
        <v>44117</v>
      </c>
      <c r="K13" s="7">
        <f t="shared" si="0"/>
        <v>44147</v>
      </c>
      <c r="L13" s="7">
        <f t="shared" si="0"/>
        <v>44177</v>
      </c>
      <c r="M13" s="7">
        <f t="shared" si="0"/>
        <v>44207</v>
      </c>
      <c r="N13" s="7">
        <f t="shared" si="0"/>
        <v>44237</v>
      </c>
      <c r="O13" s="7">
        <f t="shared" si="0"/>
        <v>44267</v>
      </c>
      <c r="P13" s="7">
        <f t="shared" si="0"/>
        <v>44297</v>
      </c>
      <c r="Q13" s="7">
        <f t="shared" si="0"/>
        <v>44327</v>
      </c>
      <c r="R13" s="7">
        <f t="shared" si="0"/>
        <v>44357</v>
      </c>
      <c r="S13" s="7">
        <f t="shared" si="0"/>
        <v>44387</v>
      </c>
      <c r="T13" s="7">
        <f t="shared" si="0"/>
        <v>44417</v>
      </c>
      <c r="U13" s="7">
        <f t="shared" si="0"/>
        <v>44447</v>
      </c>
      <c r="V13" s="7">
        <f t="shared" si="0"/>
        <v>44477</v>
      </c>
      <c r="W13" s="7">
        <f t="shared" si="0"/>
        <v>44507</v>
      </c>
      <c r="X13" s="7">
        <f t="shared" si="0"/>
        <v>44537</v>
      </c>
      <c r="Y13" s="7">
        <f t="shared" si="0"/>
        <v>44567</v>
      </c>
    </row>
    <row r="14" spans="1:26" x14ac:dyDescent="0.25">
      <c r="A14" s="8" t="s">
        <v>21</v>
      </c>
      <c r="B14" s="18">
        <v>1050</v>
      </c>
      <c r="C14" s="18">
        <v>950</v>
      </c>
      <c r="D14" s="18">
        <v>900</v>
      </c>
      <c r="E14" s="18">
        <f>900+50</f>
        <v>950</v>
      </c>
      <c r="F14" s="35">
        <v>1000</v>
      </c>
      <c r="G14" s="29">
        <v>1100</v>
      </c>
      <c r="H14" s="18">
        <v>1000</v>
      </c>
      <c r="I14" s="18">
        <v>1200</v>
      </c>
      <c r="J14" s="18">
        <v>1700</v>
      </c>
      <c r="K14" s="18">
        <v>1600</v>
      </c>
      <c r="L14" s="18">
        <v>1350</v>
      </c>
      <c r="M14" s="18">
        <v>1300</v>
      </c>
      <c r="N14" s="18">
        <v>1250</v>
      </c>
      <c r="O14" s="18">
        <v>1250</v>
      </c>
      <c r="P14" s="18">
        <v>1200</v>
      </c>
      <c r="Q14" s="18">
        <v>1150</v>
      </c>
      <c r="R14" s="18">
        <v>1100</v>
      </c>
      <c r="S14" s="18">
        <v>1200</v>
      </c>
      <c r="T14" s="18">
        <v>1300</v>
      </c>
      <c r="U14" s="18">
        <v>1400</v>
      </c>
      <c r="V14" s="18">
        <v>1350</v>
      </c>
      <c r="W14" s="18">
        <v>1300</v>
      </c>
      <c r="X14" s="18">
        <v>1200</v>
      </c>
      <c r="Y14" s="18">
        <v>1200</v>
      </c>
    </row>
    <row r="15" spans="1:26" x14ac:dyDescent="0.25">
      <c r="A15" s="8" t="s">
        <v>22</v>
      </c>
      <c r="B15" s="18"/>
      <c r="C15" s="18"/>
      <c r="D15" s="18">
        <v>50</v>
      </c>
      <c r="E15" s="18">
        <v>50</v>
      </c>
      <c r="F15" s="35">
        <v>100</v>
      </c>
      <c r="G15" s="29"/>
      <c r="H15" s="18"/>
      <c r="I15" s="18"/>
      <c r="J15" s="18">
        <v>-300</v>
      </c>
      <c r="K15" s="18">
        <v>-200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6" x14ac:dyDescent="0.25">
      <c r="A16" s="9" t="s">
        <v>23</v>
      </c>
      <c r="B16" s="10">
        <f t="shared" ref="B16:Y16" si="1">IF(B14&lt;&gt;"",B14+B15,IF(B15&lt;&gt;"",B14+B15,""))</f>
        <v>1050</v>
      </c>
      <c r="C16" s="10">
        <f t="shared" si="1"/>
        <v>950</v>
      </c>
      <c r="D16" s="10">
        <f t="shared" si="1"/>
        <v>950</v>
      </c>
      <c r="E16" s="10">
        <f t="shared" si="1"/>
        <v>1000</v>
      </c>
      <c r="F16" s="36">
        <f t="shared" si="1"/>
        <v>1100</v>
      </c>
      <c r="G16" s="30">
        <f t="shared" si="1"/>
        <v>1100</v>
      </c>
      <c r="H16" s="10">
        <f t="shared" si="1"/>
        <v>1000</v>
      </c>
      <c r="I16" s="10">
        <f t="shared" si="1"/>
        <v>1200</v>
      </c>
      <c r="J16" s="10">
        <f t="shared" si="1"/>
        <v>1400</v>
      </c>
      <c r="K16" s="10">
        <f t="shared" si="1"/>
        <v>1400</v>
      </c>
      <c r="L16" s="10">
        <f t="shared" si="1"/>
        <v>1350</v>
      </c>
      <c r="M16" s="10">
        <f t="shared" si="1"/>
        <v>1300</v>
      </c>
      <c r="N16" s="10">
        <f t="shared" si="1"/>
        <v>1250</v>
      </c>
      <c r="O16" s="10">
        <f t="shared" si="1"/>
        <v>1250</v>
      </c>
      <c r="P16" s="10">
        <f t="shared" si="1"/>
        <v>1200</v>
      </c>
      <c r="Q16" s="10">
        <f t="shared" si="1"/>
        <v>1150</v>
      </c>
      <c r="R16" s="10">
        <f t="shared" si="1"/>
        <v>1100</v>
      </c>
      <c r="S16" s="10">
        <f t="shared" si="1"/>
        <v>1200</v>
      </c>
      <c r="T16" s="10">
        <f t="shared" si="1"/>
        <v>1300</v>
      </c>
      <c r="U16" s="10">
        <f t="shared" si="1"/>
        <v>1400</v>
      </c>
      <c r="V16" s="10">
        <f t="shared" si="1"/>
        <v>1350</v>
      </c>
      <c r="W16" s="10">
        <f t="shared" si="1"/>
        <v>1300</v>
      </c>
      <c r="X16" s="10">
        <f t="shared" si="1"/>
        <v>1200</v>
      </c>
      <c r="Y16" s="10">
        <f t="shared" si="1"/>
        <v>1200</v>
      </c>
    </row>
    <row r="17" spans="1:25" x14ac:dyDescent="0.25">
      <c r="A17" s="8" t="s">
        <v>9</v>
      </c>
      <c r="B17" s="10"/>
      <c r="C17" s="10">
        <f t="shared" ref="C17:Y17" si="2">IF(C16="","",IF(B25&lt;B22,B22-B25,0))</f>
        <v>0</v>
      </c>
      <c r="D17" s="10">
        <f t="shared" si="2"/>
        <v>0</v>
      </c>
      <c r="E17" s="10">
        <f t="shared" si="2"/>
        <v>0</v>
      </c>
      <c r="F17" s="36">
        <f t="shared" si="2"/>
        <v>0</v>
      </c>
      <c r="G17" s="30">
        <f t="shared" si="2"/>
        <v>600</v>
      </c>
      <c r="H17" s="10">
        <f t="shared" si="2"/>
        <v>800</v>
      </c>
      <c r="I17" s="10">
        <f t="shared" si="2"/>
        <v>733.33333333333326</v>
      </c>
      <c r="J17" s="10">
        <f t="shared" si="2"/>
        <v>108.33333333333326</v>
      </c>
      <c r="K17" s="10">
        <f t="shared" si="2"/>
        <v>0</v>
      </c>
      <c r="L17" s="10">
        <f t="shared" si="2"/>
        <v>0</v>
      </c>
      <c r="M17" s="10">
        <f t="shared" si="2"/>
        <v>0</v>
      </c>
      <c r="N17" s="10">
        <f t="shared" si="2"/>
        <v>0</v>
      </c>
      <c r="O17" s="10">
        <f t="shared" si="2"/>
        <v>0</v>
      </c>
      <c r="P17" s="10">
        <f t="shared" si="2"/>
        <v>0</v>
      </c>
      <c r="Q17" s="10">
        <f t="shared" si="2"/>
        <v>0</v>
      </c>
      <c r="R17" s="10">
        <f t="shared" si="2"/>
        <v>0</v>
      </c>
      <c r="S17" s="10">
        <f t="shared" si="2"/>
        <v>0</v>
      </c>
      <c r="T17" s="10">
        <f t="shared" si="2"/>
        <v>0</v>
      </c>
      <c r="U17" s="10">
        <f t="shared" si="2"/>
        <v>0</v>
      </c>
      <c r="V17" s="10">
        <f t="shared" si="2"/>
        <v>0</v>
      </c>
      <c r="W17" s="10">
        <f t="shared" si="2"/>
        <v>0</v>
      </c>
      <c r="X17" s="10">
        <f t="shared" si="2"/>
        <v>0</v>
      </c>
      <c r="Y17" s="10">
        <f t="shared" si="2"/>
        <v>0</v>
      </c>
    </row>
    <row r="18" spans="1:25" x14ac:dyDescent="0.25">
      <c r="A18" s="12" t="s">
        <v>20</v>
      </c>
      <c r="B18" s="18">
        <v>1100</v>
      </c>
      <c r="C18" s="18">
        <v>1000</v>
      </c>
      <c r="D18" s="18">
        <v>1200</v>
      </c>
      <c r="E18" s="18">
        <v>800</v>
      </c>
      <c r="F18" s="35">
        <v>1200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25">
      <c r="B19" s="13"/>
      <c r="C19" s="13"/>
      <c r="D19" s="13"/>
      <c r="E19" s="13"/>
      <c r="F19" s="3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25">
      <c r="A20" s="2" t="s">
        <v>38</v>
      </c>
      <c r="B20" s="2" t="s">
        <v>39</v>
      </c>
      <c r="C20" s="13"/>
      <c r="D20" s="13"/>
      <c r="E20" s="13"/>
      <c r="F20" s="3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15.75" x14ac:dyDescent="0.25">
      <c r="A21" s="24">
        <v>1</v>
      </c>
      <c r="B21" s="51">
        <v>0.5</v>
      </c>
      <c r="C21" s="13"/>
      <c r="D21" s="13"/>
      <c r="E21" s="13"/>
      <c r="F21" s="3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x14ac:dyDescent="0.25">
      <c r="A22" s="9" t="s">
        <v>37</v>
      </c>
      <c r="B22" s="10">
        <f t="shared" ref="B22:V22" si="3">IF(B16="","",IF(E16&lt;&gt;"",SUM(C16:E16)/3*$A$21,IF(D16&lt;&gt;"",SUM(C16:D16)/2*$A$21,IF(C16&lt;&gt;"",C16*$A$21,B16*$A$21))))</f>
        <v>966.66666666666663</v>
      </c>
      <c r="C22" s="10">
        <f t="shared" si="3"/>
        <v>1016.6666666666666</v>
      </c>
      <c r="D22" s="10">
        <f t="shared" si="3"/>
        <v>1066.6666666666667</v>
      </c>
      <c r="E22" s="10">
        <f t="shared" si="3"/>
        <v>1066.6666666666667</v>
      </c>
      <c r="F22" s="36">
        <f t="shared" si="3"/>
        <v>1100</v>
      </c>
      <c r="G22" s="30">
        <f t="shared" si="3"/>
        <v>1200</v>
      </c>
      <c r="H22" s="10">
        <f t="shared" si="3"/>
        <v>1333.3333333333333</v>
      </c>
      <c r="I22" s="10">
        <f t="shared" si="3"/>
        <v>1383.3333333333333</v>
      </c>
      <c r="J22" s="10">
        <f t="shared" si="3"/>
        <v>1350</v>
      </c>
      <c r="K22" s="10">
        <f t="shared" si="3"/>
        <v>1300</v>
      </c>
      <c r="L22" s="10">
        <f t="shared" si="3"/>
        <v>1266.6666666666667</v>
      </c>
      <c r="M22" s="10">
        <f t="shared" si="3"/>
        <v>1233.3333333333333</v>
      </c>
      <c r="N22" s="10">
        <f t="shared" si="3"/>
        <v>1200</v>
      </c>
      <c r="O22" s="10">
        <f t="shared" si="3"/>
        <v>1150</v>
      </c>
      <c r="P22" s="10">
        <f t="shared" si="3"/>
        <v>1150</v>
      </c>
      <c r="Q22" s="10">
        <f t="shared" si="3"/>
        <v>1200</v>
      </c>
      <c r="R22" s="10">
        <f t="shared" si="3"/>
        <v>1300</v>
      </c>
      <c r="S22" s="10">
        <f t="shared" si="3"/>
        <v>1350</v>
      </c>
      <c r="T22" s="10">
        <f t="shared" si="3"/>
        <v>1350</v>
      </c>
      <c r="U22" s="10">
        <f t="shared" si="3"/>
        <v>1283.3333333333333</v>
      </c>
      <c r="V22" s="10">
        <f t="shared" si="3"/>
        <v>1233.3333333333333</v>
      </c>
      <c r="W22" s="10">
        <f>V22</f>
        <v>1233.3333333333333</v>
      </c>
      <c r="X22" s="10">
        <f>W22</f>
        <v>1233.3333333333333</v>
      </c>
      <c r="Y22" s="10">
        <f>X22</f>
        <v>1233.3333333333333</v>
      </c>
    </row>
    <row r="23" spans="1:25" x14ac:dyDescent="0.25">
      <c r="A23" s="14" t="s">
        <v>40</v>
      </c>
      <c r="B23" s="10">
        <f>B22*(1+$B$21)</f>
        <v>1450</v>
      </c>
      <c r="C23" s="10">
        <f t="shared" ref="C23:Y23" si="4">C22*(1+$B$21)</f>
        <v>1525</v>
      </c>
      <c r="D23" s="10">
        <f t="shared" si="4"/>
        <v>1600</v>
      </c>
      <c r="E23" s="10">
        <f t="shared" si="4"/>
        <v>1600</v>
      </c>
      <c r="F23" s="36">
        <f t="shared" si="4"/>
        <v>1650</v>
      </c>
      <c r="G23" s="30">
        <f t="shared" si="4"/>
        <v>1800</v>
      </c>
      <c r="H23" s="10">
        <f t="shared" si="4"/>
        <v>2000</v>
      </c>
      <c r="I23" s="10">
        <f t="shared" si="4"/>
        <v>2075</v>
      </c>
      <c r="J23" s="10">
        <f t="shared" si="4"/>
        <v>2025</v>
      </c>
      <c r="K23" s="10">
        <f t="shared" si="4"/>
        <v>1950</v>
      </c>
      <c r="L23" s="10">
        <f t="shared" si="4"/>
        <v>1900</v>
      </c>
      <c r="M23" s="10">
        <f t="shared" si="4"/>
        <v>1850</v>
      </c>
      <c r="N23" s="10">
        <f t="shared" si="4"/>
        <v>1800</v>
      </c>
      <c r="O23" s="10">
        <f t="shared" si="4"/>
        <v>1725</v>
      </c>
      <c r="P23" s="10">
        <f t="shared" si="4"/>
        <v>1725</v>
      </c>
      <c r="Q23" s="10">
        <f t="shared" si="4"/>
        <v>1800</v>
      </c>
      <c r="R23" s="10">
        <f t="shared" si="4"/>
        <v>1950</v>
      </c>
      <c r="S23" s="10">
        <f t="shared" si="4"/>
        <v>2025</v>
      </c>
      <c r="T23" s="10">
        <f t="shared" si="4"/>
        <v>2025</v>
      </c>
      <c r="U23" s="10">
        <f t="shared" si="4"/>
        <v>1925</v>
      </c>
      <c r="V23" s="10">
        <f t="shared" si="4"/>
        <v>1850</v>
      </c>
      <c r="W23" s="10">
        <f t="shared" si="4"/>
        <v>1850</v>
      </c>
      <c r="X23" s="10">
        <f t="shared" si="4"/>
        <v>1850</v>
      </c>
      <c r="Y23" s="10">
        <f t="shared" si="4"/>
        <v>1850</v>
      </c>
    </row>
    <row r="24" spans="1:25" x14ac:dyDescent="0.25">
      <c r="A24" s="14" t="s">
        <v>36</v>
      </c>
      <c r="B24" s="10">
        <f>IF(B16="","",IF(B27&gt;0,B27,""))</f>
        <v>1400</v>
      </c>
      <c r="C24" s="10">
        <f>IF(C16="","",IF(C27&gt;0,C27,IF(B27&gt;0,IF(C18="",(B27+C39-C16),IF((C18)&gt;(C16),(B27+C44-C18),(B27+C44-C16))),IF(C18="",(B24+C39-C16),IF((C18)&gt;(C16),(B24+C44-C18),(B24+C44-C16))))))</f>
        <v>1500</v>
      </c>
      <c r="D24" s="10">
        <f>IF(D16="","",IF(D27&gt;0,D27,IF(C27&gt;0,IF(D18="",(C27+D39-D16),IF((D18)&gt;(D16),(C27+D44-D18),(C27+D44-D16))),IF(D18="",(C24+D39-D16),IF((D18)&gt;(D16),(C24+D44-D18),(C24+D44-D16))))))</f>
        <v>1300</v>
      </c>
      <c r="E24" s="10">
        <f>IF(E16="","",IF(E27&gt;0,E27,IF(D27&gt;0,IF(E18="",(D27+E39-E16),IF((E18)&gt;(E16),(D27+E44-E18),(D27+E44-E16))),IF(E18="",(D24+E39-E16),IF((E18)&gt;(E16),(D24+E44-E18),(D24+E44-E16))))))</f>
        <v>1100</v>
      </c>
      <c r="F24" s="36">
        <f>IF(F16="","",IF(F27&gt;0,F27,IF(E27&gt;0,IF(F18="",(E27+F39-F16),IF((F18)&gt;(F16),(E27+F44-F18),(E27+F44-F16))),IF(F18="",(E24+F39-F16),IF((F18)&gt;(F16),(E24+F44-F18),(E24+F44-F16))))))</f>
        <v>500</v>
      </c>
      <c r="G24" s="49">
        <f>F27-G16+G39</f>
        <v>400</v>
      </c>
      <c r="H24" s="50">
        <f t="shared" ref="H24:Y24" si="5">G24-H16+H39</f>
        <v>600</v>
      </c>
      <c r="I24" s="50">
        <f t="shared" si="5"/>
        <v>1275</v>
      </c>
      <c r="J24" s="50">
        <f t="shared" si="5"/>
        <v>1750</v>
      </c>
      <c r="K24" s="50">
        <f t="shared" si="5"/>
        <v>1600</v>
      </c>
      <c r="L24" s="50">
        <f t="shared" si="5"/>
        <v>1500</v>
      </c>
      <c r="M24" s="50">
        <f t="shared" si="5"/>
        <v>1450</v>
      </c>
      <c r="N24" s="50">
        <f t="shared" si="5"/>
        <v>1450</v>
      </c>
      <c r="O24" s="50">
        <f t="shared" si="5"/>
        <v>1450</v>
      </c>
      <c r="P24" s="50">
        <f t="shared" si="5"/>
        <v>1500</v>
      </c>
      <c r="Q24" s="50">
        <f t="shared" si="5"/>
        <v>1600</v>
      </c>
      <c r="R24" s="50">
        <f t="shared" si="5"/>
        <v>1950</v>
      </c>
      <c r="S24" s="50">
        <f t="shared" si="5"/>
        <v>2025</v>
      </c>
      <c r="T24" s="50">
        <f t="shared" si="5"/>
        <v>2025</v>
      </c>
      <c r="U24" s="50">
        <f t="shared" si="5"/>
        <v>1925</v>
      </c>
      <c r="V24" s="50">
        <f t="shared" si="5"/>
        <v>1850</v>
      </c>
      <c r="W24" s="50">
        <f t="shared" si="5"/>
        <v>1850</v>
      </c>
      <c r="X24" s="50">
        <f t="shared" si="5"/>
        <v>1850</v>
      </c>
      <c r="Y24" s="50">
        <f t="shared" si="5"/>
        <v>1850</v>
      </c>
    </row>
    <row r="25" spans="1:25" x14ac:dyDescent="0.25">
      <c r="A25" s="12" t="s">
        <v>34</v>
      </c>
      <c r="B25" s="10">
        <f t="shared" ref="B25:F25" si="6">IF(B24&gt;0,B24,0)</f>
        <v>1400</v>
      </c>
      <c r="C25" s="10">
        <f t="shared" si="6"/>
        <v>1500</v>
      </c>
      <c r="D25" s="10">
        <f t="shared" si="6"/>
        <v>1300</v>
      </c>
      <c r="E25" s="10">
        <f t="shared" si="6"/>
        <v>1100</v>
      </c>
      <c r="F25" s="36">
        <f t="shared" si="6"/>
        <v>500</v>
      </c>
      <c r="G25" s="49">
        <f>IF(G24&gt;0,G24,0)</f>
        <v>400</v>
      </c>
      <c r="H25" s="49">
        <f t="shared" ref="H25:Y25" si="7">IF(H24&gt;0,H24,0)</f>
        <v>600</v>
      </c>
      <c r="I25" s="49">
        <f t="shared" si="7"/>
        <v>1275</v>
      </c>
      <c r="J25" s="49">
        <f t="shared" si="7"/>
        <v>1750</v>
      </c>
      <c r="K25" s="49">
        <f t="shared" si="7"/>
        <v>1600</v>
      </c>
      <c r="L25" s="49">
        <f t="shared" si="7"/>
        <v>1500</v>
      </c>
      <c r="M25" s="49">
        <f t="shared" si="7"/>
        <v>1450</v>
      </c>
      <c r="N25" s="49">
        <f t="shared" si="7"/>
        <v>1450</v>
      </c>
      <c r="O25" s="49">
        <f t="shared" si="7"/>
        <v>1450</v>
      </c>
      <c r="P25" s="49">
        <f t="shared" si="7"/>
        <v>1500</v>
      </c>
      <c r="Q25" s="49">
        <f t="shared" si="7"/>
        <v>1600</v>
      </c>
      <c r="R25" s="49">
        <f t="shared" si="7"/>
        <v>1950</v>
      </c>
      <c r="S25" s="49">
        <f t="shared" si="7"/>
        <v>2025</v>
      </c>
      <c r="T25" s="49">
        <f t="shared" si="7"/>
        <v>2025</v>
      </c>
      <c r="U25" s="49">
        <f t="shared" si="7"/>
        <v>1925</v>
      </c>
      <c r="V25" s="49">
        <f t="shared" si="7"/>
        <v>1850</v>
      </c>
      <c r="W25" s="49">
        <f t="shared" si="7"/>
        <v>1850</v>
      </c>
      <c r="X25" s="49">
        <f t="shared" si="7"/>
        <v>1850</v>
      </c>
      <c r="Y25" s="49">
        <f t="shared" si="7"/>
        <v>1850</v>
      </c>
    </row>
    <row r="26" spans="1:25" x14ac:dyDescent="0.25">
      <c r="A26" s="12" t="s">
        <v>35</v>
      </c>
      <c r="B26" s="10">
        <f t="shared" ref="B26:F26" si="8">IF(B24&gt;0,0,B24)</f>
        <v>0</v>
      </c>
      <c r="C26" s="10">
        <f t="shared" si="8"/>
        <v>0</v>
      </c>
      <c r="D26" s="10">
        <f t="shared" si="8"/>
        <v>0</v>
      </c>
      <c r="E26" s="10">
        <f t="shared" si="8"/>
        <v>0</v>
      </c>
      <c r="F26" s="36">
        <f t="shared" si="8"/>
        <v>0</v>
      </c>
      <c r="G26" s="30">
        <f>IF(G24&gt;0,0,G24)</f>
        <v>0</v>
      </c>
      <c r="H26" s="30">
        <f t="shared" ref="H26:Y26" si="9">IF(H24&gt;0,0,H24)</f>
        <v>0</v>
      </c>
      <c r="I26" s="30">
        <f t="shared" si="9"/>
        <v>0</v>
      </c>
      <c r="J26" s="30">
        <f t="shared" si="9"/>
        <v>0</v>
      </c>
      <c r="K26" s="30">
        <f t="shared" si="9"/>
        <v>0</v>
      </c>
      <c r="L26" s="30">
        <f t="shared" si="9"/>
        <v>0</v>
      </c>
      <c r="M26" s="30">
        <f t="shared" si="9"/>
        <v>0</v>
      </c>
      <c r="N26" s="30">
        <f t="shared" si="9"/>
        <v>0</v>
      </c>
      <c r="O26" s="30">
        <f t="shared" si="9"/>
        <v>0</v>
      </c>
      <c r="P26" s="30">
        <f t="shared" si="9"/>
        <v>0</v>
      </c>
      <c r="Q26" s="30">
        <f t="shared" si="9"/>
        <v>0</v>
      </c>
      <c r="R26" s="30">
        <f t="shared" si="9"/>
        <v>0</v>
      </c>
      <c r="S26" s="30">
        <f t="shared" si="9"/>
        <v>0</v>
      </c>
      <c r="T26" s="30">
        <f t="shared" si="9"/>
        <v>0</v>
      </c>
      <c r="U26" s="30">
        <f t="shared" si="9"/>
        <v>0</v>
      </c>
      <c r="V26" s="30">
        <f t="shared" si="9"/>
        <v>0</v>
      </c>
      <c r="W26" s="30">
        <f t="shared" si="9"/>
        <v>0</v>
      </c>
      <c r="X26" s="30">
        <f t="shared" si="9"/>
        <v>0</v>
      </c>
      <c r="Y26" s="30">
        <f t="shared" si="9"/>
        <v>0</v>
      </c>
    </row>
    <row r="27" spans="1:25" x14ac:dyDescent="0.25">
      <c r="A27" s="14" t="s">
        <v>19</v>
      </c>
      <c r="B27" s="18">
        <v>1400</v>
      </c>
      <c r="C27" s="18">
        <v>1500</v>
      </c>
      <c r="D27" s="18">
        <v>1300</v>
      </c>
      <c r="E27" s="18">
        <v>1100</v>
      </c>
      <c r="F27" s="35">
        <v>500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x14ac:dyDescent="0.25">
      <c r="A28" s="14" t="s">
        <v>18</v>
      </c>
      <c r="B28" s="16">
        <f>B27/B23</f>
        <v>0.96551724137931039</v>
      </c>
      <c r="C28" s="16">
        <f t="shared" ref="C28:F28" si="10">C27/C23</f>
        <v>0.98360655737704916</v>
      </c>
      <c r="D28" s="16">
        <f t="shared" si="10"/>
        <v>0.8125</v>
      </c>
      <c r="E28" s="16">
        <f t="shared" si="10"/>
        <v>0.6875</v>
      </c>
      <c r="F28" s="38">
        <f t="shared" si="10"/>
        <v>0.30303030303030304</v>
      </c>
      <c r="G28" s="31">
        <f>G25/G23</f>
        <v>0.22222222222222221</v>
      </c>
      <c r="H28" s="16">
        <f t="shared" ref="H28:Y28" si="11">H25/H23</f>
        <v>0.3</v>
      </c>
      <c r="I28" s="16">
        <f t="shared" si="11"/>
        <v>0.61445783132530118</v>
      </c>
      <c r="J28" s="16">
        <f t="shared" si="11"/>
        <v>0.86419753086419748</v>
      </c>
      <c r="K28" s="16">
        <f t="shared" si="11"/>
        <v>0.82051282051282048</v>
      </c>
      <c r="L28" s="16">
        <f t="shared" si="11"/>
        <v>0.78947368421052633</v>
      </c>
      <c r="M28" s="16">
        <f t="shared" si="11"/>
        <v>0.78378378378378377</v>
      </c>
      <c r="N28" s="16">
        <f t="shared" si="11"/>
        <v>0.80555555555555558</v>
      </c>
      <c r="O28" s="16">
        <f t="shared" si="11"/>
        <v>0.84057971014492749</v>
      </c>
      <c r="P28" s="16">
        <f t="shared" si="11"/>
        <v>0.86956521739130432</v>
      </c>
      <c r="Q28" s="16">
        <f t="shared" si="11"/>
        <v>0.88888888888888884</v>
      </c>
      <c r="R28" s="16">
        <f t="shared" si="11"/>
        <v>1</v>
      </c>
      <c r="S28" s="16">
        <f t="shared" si="11"/>
        <v>1</v>
      </c>
      <c r="T28" s="16">
        <f t="shared" si="11"/>
        <v>1</v>
      </c>
      <c r="U28" s="16">
        <f t="shared" si="11"/>
        <v>1</v>
      </c>
      <c r="V28" s="16">
        <f t="shared" si="11"/>
        <v>1</v>
      </c>
      <c r="W28" s="16">
        <f t="shared" si="11"/>
        <v>1</v>
      </c>
      <c r="X28" s="16">
        <f t="shared" si="11"/>
        <v>1</v>
      </c>
      <c r="Y28" s="16">
        <f t="shared" si="11"/>
        <v>1</v>
      </c>
    </row>
    <row r="29" spans="1:25" x14ac:dyDescent="0.25">
      <c r="B29" s="13"/>
      <c r="C29" s="13"/>
      <c r="D29" s="13"/>
      <c r="E29" s="13"/>
      <c r="F29" s="3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31.5" x14ac:dyDescent="0.25">
      <c r="A30" s="2" t="s">
        <v>8</v>
      </c>
      <c r="B30" s="13"/>
      <c r="C30" s="13"/>
      <c r="D30" s="13"/>
      <c r="E30" s="13"/>
      <c r="F30" s="3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5" t="s">
        <v>50</v>
      </c>
      <c r="W30" s="52" t="s">
        <v>45</v>
      </c>
      <c r="X30" s="53" t="s">
        <v>44</v>
      </c>
      <c r="Y30" s="54" t="s">
        <v>46</v>
      </c>
    </row>
    <row r="31" spans="1:25" ht="15.75" x14ac:dyDescent="0.25">
      <c r="A31" s="25">
        <v>0.5</v>
      </c>
      <c r="B31" s="13"/>
      <c r="C31" s="13"/>
      <c r="D31" s="13"/>
      <c r="E31" s="13"/>
      <c r="F31" s="3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x14ac:dyDescent="0.25">
      <c r="A32" s="2" t="s">
        <v>12</v>
      </c>
      <c r="B32" s="2" t="s">
        <v>29</v>
      </c>
      <c r="C32" s="13"/>
      <c r="D32" s="13"/>
      <c r="E32" s="13"/>
      <c r="F32" s="3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6" ht="26.25" x14ac:dyDescent="0.4">
      <c r="A33" s="26">
        <v>2</v>
      </c>
      <c r="B33" s="26">
        <v>2</v>
      </c>
      <c r="C33" s="27"/>
      <c r="D33" s="27"/>
      <c r="E33" s="27"/>
      <c r="F33" s="39"/>
      <c r="G33" s="27">
        <f t="shared" ref="G33:Y33" si="12">IF(G13&lt;=$A$3,0,F33+1)</f>
        <v>0</v>
      </c>
      <c r="H33" s="27">
        <f t="shared" si="12"/>
        <v>1</v>
      </c>
      <c r="I33" s="27">
        <f t="shared" si="12"/>
        <v>2</v>
      </c>
      <c r="J33" s="27">
        <f t="shared" si="12"/>
        <v>3</v>
      </c>
      <c r="K33" s="27">
        <f t="shared" si="12"/>
        <v>4</v>
      </c>
      <c r="L33" s="27">
        <f t="shared" si="12"/>
        <v>5</v>
      </c>
      <c r="M33" s="27">
        <f t="shared" si="12"/>
        <v>6</v>
      </c>
      <c r="N33" s="27">
        <f t="shared" si="12"/>
        <v>7</v>
      </c>
      <c r="O33" s="27">
        <f t="shared" si="12"/>
        <v>8</v>
      </c>
      <c r="P33" s="27">
        <f t="shared" si="12"/>
        <v>9</v>
      </c>
      <c r="Q33" s="27">
        <f t="shared" si="12"/>
        <v>10</v>
      </c>
      <c r="R33" s="27">
        <f t="shared" si="12"/>
        <v>11</v>
      </c>
      <c r="S33" s="27">
        <f t="shared" si="12"/>
        <v>12</v>
      </c>
      <c r="T33" s="27">
        <f t="shared" si="12"/>
        <v>13</v>
      </c>
      <c r="U33" s="27">
        <f t="shared" si="12"/>
        <v>14</v>
      </c>
      <c r="V33" s="27">
        <f t="shared" si="12"/>
        <v>15</v>
      </c>
      <c r="W33" s="27">
        <f t="shared" si="12"/>
        <v>16</v>
      </c>
      <c r="X33" s="27">
        <f t="shared" si="12"/>
        <v>17</v>
      </c>
      <c r="Y33" s="27">
        <f t="shared" si="12"/>
        <v>18</v>
      </c>
      <c r="Z33" s="48" t="s">
        <v>32</v>
      </c>
    </row>
    <row r="34" spans="1:26" x14ac:dyDescent="0.25">
      <c r="A34" s="14" t="s">
        <v>5</v>
      </c>
      <c r="B34" s="18">
        <v>1250</v>
      </c>
      <c r="C34" s="18">
        <v>1250</v>
      </c>
      <c r="D34" s="18">
        <v>1250</v>
      </c>
      <c r="E34" s="18">
        <v>1250</v>
      </c>
      <c r="F34" s="35">
        <v>1250</v>
      </c>
      <c r="G34" s="29">
        <v>1000</v>
      </c>
      <c r="H34" s="18">
        <v>1000</v>
      </c>
      <c r="I34" s="18">
        <v>1250</v>
      </c>
      <c r="J34" s="18">
        <v>1250</v>
      </c>
      <c r="K34" s="18">
        <v>1250</v>
      </c>
      <c r="L34" s="18">
        <v>1250</v>
      </c>
      <c r="M34" s="18">
        <v>1250</v>
      </c>
      <c r="N34" s="18">
        <v>1250</v>
      </c>
      <c r="O34" s="18">
        <v>1250</v>
      </c>
      <c r="P34" s="18">
        <v>1250</v>
      </c>
      <c r="Q34" s="18">
        <v>1250</v>
      </c>
      <c r="R34" s="18">
        <v>1500</v>
      </c>
      <c r="S34" s="18">
        <v>1500</v>
      </c>
      <c r="T34" s="18">
        <v>1500</v>
      </c>
      <c r="U34" s="18">
        <v>1500</v>
      </c>
      <c r="V34" s="18">
        <v>1500</v>
      </c>
      <c r="W34" s="18">
        <v>1500</v>
      </c>
      <c r="X34" s="18">
        <v>1500</v>
      </c>
      <c r="Y34" s="18">
        <v>1500</v>
      </c>
    </row>
    <row r="35" spans="1:26" x14ac:dyDescent="0.25">
      <c r="A35" s="9" t="s">
        <v>16</v>
      </c>
      <c r="B35" s="10">
        <f>B34</f>
        <v>1250</v>
      </c>
      <c r="C35" s="10">
        <f t="shared" ref="C35:F35" si="13">C34</f>
        <v>1250</v>
      </c>
      <c r="D35" s="10">
        <f t="shared" si="13"/>
        <v>1250</v>
      </c>
      <c r="E35" s="10">
        <f t="shared" si="13"/>
        <v>1250</v>
      </c>
      <c r="F35" s="36">
        <f t="shared" si="13"/>
        <v>1250</v>
      </c>
      <c r="G35" s="30">
        <f>IF(G33&gt;=$A$33,IF(G33&lt;=($A$33+$B$33-1),G34*(1+$A$31),G34),G34)</f>
        <v>1000</v>
      </c>
      <c r="H35" s="30">
        <f t="shared" ref="H35:Y35" si="14">IF(H33&gt;=$A$33,IF(H33&lt;=($A$33+$B$33-1),H34*(1+$A$31),H34),H34)</f>
        <v>1000</v>
      </c>
      <c r="I35" s="30">
        <f t="shared" si="14"/>
        <v>1875</v>
      </c>
      <c r="J35" s="30">
        <f t="shared" si="14"/>
        <v>1875</v>
      </c>
      <c r="K35" s="30">
        <f t="shared" si="14"/>
        <v>1250</v>
      </c>
      <c r="L35" s="30">
        <f t="shared" si="14"/>
        <v>1250</v>
      </c>
      <c r="M35" s="30">
        <f t="shared" si="14"/>
        <v>1250</v>
      </c>
      <c r="N35" s="30">
        <f t="shared" si="14"/>
        <v>1250</v>
      </c>
      <c r="O35" s="30">
        <f t="shared" si="14"/>
        <v>1250</v>
      </c>
      <c r="P35" s="30">
        <f t="shared" si="14"/>
        <v>1250</v>
      </c>
      <c r="Q35" s="30">
        <f t="shared" si="14"/>
        <v>1250</v>
      </c>
      <c r="R35" s="30">
        <f t="shared" si="14"/>
        <v>1500</v>
      </c>
      <c r="S35" s="30">
        <f t="shared" si="14"/>
        <v>1500</v>
      </c>
      <c r="T35" s="30">
        <f t="shared" si="14"/>
        <v>1500</v>
      </c>
      <c r="U35" s="30">
        <f t="shared" si="14"/>
        <v>1500</v>
      </c>
      <c r="V35" s="30">
        <f t="shared" si="14"/>
        <v>1500</v>
      </c>
      <c r="W35" s="30">
        <f t="shared" si="14"/>
        <v>1500</v>
      </c>
      <c r="X35" s="30">
        <f t="shared" si="14"/>
        <v>1500</v>
      </c>
      <c r="Y35" s="30">
        <f t="shared" si="14"/>
        <v>1500</v>
      </c>
    </row>
    <row r="36" spans="1:26" x14ac:dyDescent="0.25">
      <c r="B36" s="13"/>
      <c r="C36" s="13"/>
      <c r="D36" s="13"/>
      <c r="E36" s="13"/>
      <c r="F36" s="37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6" x14ac:dyDescent="0.25">
      <c r="A37" s="14" t="s">
        <v>13</v>
      </c>
      <c r="B37" s="10">
        <f>B16</f>
        <v>1050</v>
      </c>
      <c r="C37" s="10">
        <f t="shared" ref="C37:Y37" si="15">IF(C16="","",IF((C23+C16+C17-B25)&lt;C35,IF((C23+C16+C17-B25)&lt;0,0,(C23+C16+C17-B25)),C35))</f>
        <v>1075</v>
      </c>
      <c r="D37" s="10">
        <f t="shared" si="15"/>
        <v>1050</v>
      </c>
      <c r="E37" s="10">
        <f t="shared" si="15"/>
        <v>1250</v>
      </c>
      <c r="F37" s="36">
        <f t="shared" si="15"/>
        <v>1250</v>
      </c>
      <c r="G37" s="30">
        <f t="shared" si="15"/>
        <v>1000</v>
      </c>
      <c r="H37" s="10">
        <f t="shared" si="15"/>
        <v>1000</v>
      </c>
      <c r="I37" s="10">
        <f t="shared" si="15"/>
        <v>1875</v>
      </c>
      <c r="J37" s="10">
        <f t="shared" si="15"/>
        <v>1875</v>
      </c>
      <c r="K37" s="10">
        <f t="shared" si="15"/>
        <v>1250</v>
      </c>
      <c r="L37" s="10">
        <f t="shared" si="15"/>
        <v>1250</v>
      </c>
      <c r="M37" s="10">
        <f t="shared" si="15"/>
        <v>1250</v>
      </c>
      <c r="N37" s="10">
        <f t="shared" si="15"/>
        <v>1250</v>
      </c>
      <c r="O37" s="10">
        <f t="shared" si="15"/>
        <v>1250</v>
      </c>
      <c r="P37" s="10">
        <f t="shared" si="15"/>
        <v>1250</v>
      </c>
      <c r="Q37" s="10">
        <f t="shared" si="15"/>
        <v>1250</v>
      </c>
      <c r="R37" s="10">
        <f t="shared" si="15"/>
        <v>1450</v>
      </c>
      <c r="S37" s="10">
        <f t="shared" si="15"/>
        <v>1275</v>
      </c>
      <c r="T37" s="10">
        <f t="shared" si="15"/>
        <v>1300</v>
      </c>
      <c r="U37" s="10">
        <f t="shared" si="15"/>
        <v>1300</v>
      </c>
      <c r="V37" s="10">
        <f t="shared" si="15"/>
        <v>1275</v>
      </c>
      <c r="W37" s="10">
        <f t="shared" si="15"/>
        <v>1300</v>
      </c>
      <c r="X37" s="10">
        <f t="shared" si="15"/>
        <v>1200</v>
      </c>
      <c r="Y37" s="10">
        <f t="shared" si="15"/>
        <v>1200</v>
      </c>
    </row>
    <row r="38" spans="1:26" x14ac:dyDescent="0.25">
      <c r="A38" s="8" t="s">
        <v>14</v>
      </c>
      <c r="B38" s="18"/>
      <c r="C38" s="18"/>
      <c r="D38" s="18"/>
      <c r="E38" s="18"/>
      <c r="F38" s="35"/>
      <c r="G38" s="29"/>
      <c r="H38" s="18">
        <v>200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6" x14ac:dyDescent="0.25">
      <c r="A39" s="9" t="s">
        <v>25</v>
      </c>
      <c r="B39" s="10">
        <f>IF(B37="","",B37+B38)</f>
        <v>1050</v>
      </c>
      <c r="C39" s="10">
        <f t="shared" ref="C39:Y39" si="16">IF(C37="","",C37+C38)</f>
        <v>1075</v>
      </c>
      <c r="D39" s="10">
        <f t="shared" si="16"/>
        <v>1050</v>
      </c>
      <c r="E39" s="10">
        <f t="shared" si="16"/>
        <v>1250</v>
      </c>
      <c r="F39" s="36">
        <f t="shared" si="16"/>
        <v>1250</v>
      </c>
      <c r="G39" s="30">
        <f t="shared" si="16"/>
        <v>1000</v>
      </c>
      <c r="H39" s="10">
        <f t="shared" si="16"/>
        <v>1200</v>
      </c>
      <c r="I39" s="10">
        <f t="shared" si="16"/>
        <v>1875</v>
      </c>
      <c r="J39" s="10">
        <f t="shared" si="16"/>
        <v>1875</v>
      </c>
      <c r="K39" s="10">
        <f t="shared" si="16"/>
        <v>1250</v>
      </c>
      <c r="L39" s="10">
        <f t="shared" si="16"/>
        <v>1250</v>
      </c>
      <c r="M39" s="10">
        <f t="shared" si="16"/>
        <v>1250</v>
      </c>
      <c r="N39" s="10">
        <f t="shared" si="16"/>
        <v>1250</v>
      </c>
      <c r="O39" s="10">
        <f t="shared" si="16"/>
        <v>1250</v>
      </c>
      <c r="P39" s="10">
        <f t="shared" si="16"/>
        <v>1250</v>
      </c>
      <c r="Q39" s="10">
        <f t="shared" si="16"/>
        <v>1250</v>
      </c>
      <c r="R39" s="10">
        <f t="shared" si="16"/>
        <v>1450</v>
      </c>
      <c r="S39" s="10">
        <f t="shared" si="16"/>
        <v>1275</v>
      </c>
      <c r="T39" s="10">
        <f t="shared" si="16"/>
        <v>1300</v>
      </c>
      <c r="U39" s="10">
        <f t="shared" si="16"/>
        <v>1300</v>
      </c>
      <c r="V39" s="10">
        <f t="shared" si="16"/>
        <v>1275</v>
      </c>
      <c r="W39" s="10">
        <f t="shared" si="16"/>
        <v>1300</v>
      </c>
      <c r="X39" s="10">
        <f t="shared" si="16"/>
        <v>1200</v>
      </c>
      <c r="Y39" s="10">
        <f t="shared" si="16"/>
        <v>1200</v>
      </c>
    </row>
    <row r="40" spans="1:26" x14ac:dyDescent="0.25">
      <c r="A40" s="14" t="s">
        <v>26</v>
      </c>
      <c r="B40" s="18">
        <v>466.66666666666652</v>
      </c>
      <c r="C40" s="18">
        <v>633.33333333333348</v>
      </c>
      <c r="D40" s="18">
        <v>966.66666666666652</v>
      </c>
      <c r="E40" s="18">
        <v>1000</v>
      </c>
      <c r="F40" s="35">
        <v>966.66666666666674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6" x14ac:dyDescent="0.25">
      <c r="A41" s="14" t="s">
        <v>11</v>
      </c>
      <c r="B41" s="16">
        <f>IF(B44&gt;0,B44/B40,"")</f>
        <v>2.1428571428571437</v>
      </c>
      <c r="C41" s="16">
        <f t="shared" ref="C41:F41" si="17">IF(C44&gt;0,C44/C40,"")</f>
        <v>1.7368421052631575</v>
      </c>
      <c r="D41" s="16">
        <f>IF(D44&gt;0,D44/D40,"")</f>
        <v>1.0344827586206897</v>
      </c>
      <c r="E41" s="16">
        <f t="shared" si="17"/>
        <v>0.6</v>
      </c>
      <c r="F41" s="38">
        <f t="shared" si="17"/>
        <v>0.6206896551724137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6" x14ac:dyDescent="0.25">
      <c r="A42" s="14" t="s">
        <v>17</v>
      </c>
      <c r="B42" s="16">
        <f>IF(B44&gt;0,B44/B35,"")</f>
        <v>0.8</v>
      </c>
      <c r="C42" s="16">
        <f>IF(C44&gt;0,C44/C35,"")</f>
        <v>0.88</v>
      </c>
      <c r="D42" s="16">
        <f>IF(D44&gt;0,D44/D35,"")</f>
        <v>0.8</v>
      </c>
      <c r="E42" s="16">
        <f>IF(E44&gt;0,E44/E35,"")</f>
        <v>0.48</v>
      </c>
      <c r="F42" s="38">
        <f>IF(F44&gt;0,F44/F35,"")</f>
        <v>0.48</v>
      </c>
      <c r="G42" s="31">
        <f>G39/G35</f>
        <v>1</v>
      </c>
      <c r="H42" s="16">
        <f t="shared" ref="H42:Y42" si="18">H39/H35</f>
        <v>1.2</v>
      </c>
      <c r="I42" s="16">
        <f t="shared" si="18"/>
        <v>1</v>
      </c>
      <c r="J42" s="16">
        <f t="shared" si="18"/>
        <v>1</v>
      </c>
      <c r="K42" s="16">
        <f t="shared" si="18"/>
        <v>1</v>
      </c>
      <c r="L42" s="16">
        <f t="shared" si="18"/>
        <v>1</v>
      </c>
      <c r="M42" s="16">
        <f t="shared" si="18"/>
        <v>1</v>
      </c>
      <c r="N42" s="16">
        <f t="shared" si="18"/>
        <v>1</v>
      </c>
      <c r="O42" s="16">
        <f t="shared" si="18"/>
        <v>1</v>
      </c>
      <c r="P42" s="16">
        <f t="shared" si="18"/>
        <v>1</v>
      </c>
      <c r="Q42" s="16">
        <f t="shared" si="18"/>
        <v>1</v>
      </c>
      <c r="R42" s="16">
        <f t="shared" si="18"/>
        <v>0.96666666666666667</v>
      </c>
      <c r="S42" s="16">
        <f t="shared" si="18"/>
        <v>0.85</v>
      </c>
      <c r="T42" s="16">
        <f t="shared" si="18"/>
        <v>0.8666666666666667</v>
      </c>
      <c r="U42" s="16">
        <f t="shared" si="18"/>
        <v>0.8666666666666667</v>
      </c>
      <c r="V42" s="16">
        <f t="shared" si="18"/>
        <v>0.85</v>
      </c>
      <c r="W42" s="16">
        <f t="shared" si="18"/>
        <v>0.8666666666666667</v>
      </c>
      <c r="X42" s="16">
        <f t="shared" si="18"/>
        <v>0.8</v>
      </c>
      <c r="Y42" s="16">
        <f t="shared" si="18"/>
        <v>0.8</v>
      </c>
    </row>
    <row r="43" spans="1:26" x14ac:dyDescent="0.25">
      <c r="F43" s="33"/>
    </row>
    <row r="44" spans="1:26" x14ac:dyDescent="0.25">
      <c r="A44" s="9" t="s">
        <v>15</v>
      </c>
      <c r="B44" s="18">
        <v>1000</v>
      </c>
      <c r="C44" s="18">
        <v>1100</v>
      </c>
      <c r="D44" s="18">
        <v>1000</v>
      </c>
      <c r="E44" s="18">
        <v>600</v>
      </c>
      <c r="F44" s="35">
        <v>600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6" ht="31.5" x14ac:dyDescent="0.25">
      <c r="F45" s="33"/>
      <c r="V45" s="55" t="s">
        <v>51</v>
      </c>
      <c r="W45" s="54" t="s">
        <v>47</v>
      </c>
      <c r="X45" s="53" t="s">
        <v>49</v>
      </c>
      <c r="Y45" s="52" t="s">
        <v>48</v>
      </c>
    </row>
    <row r="46" spans="1:26" x14ac:dyDescent="0.25">
      <c r="A46" s="14" t="s">
        <v>6</v>
      </c>
      <c r="B46" s="11"/>
      <c r="C46" s="15">
        <f>IF(C44&gt;0,C44-C18+B27-C27,"")</f>
        <v>0</v>
      </c>
      <c r="D46" s="15">
        <f>IF(D44&gt;0,D44-D18+C27-D27,"")</f>
        <v>0</v>
      </c>
      <c r="E46" s="15">
        <f>IF(E44&gt;0,E44-E18+D27-E27,"")</f>
        <v>0</v>
      </c>
      <c r="F46" s="40">
        <f>IF(F44&gt;0,F44-F18+E27-F27,"")</f>
        <v>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9" spans="2:25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</sheetData>
  <sheetProtection algorithmName="SHA-512" hashValue="gtBWWppCtAktxc92q6HMqPml+czlKxJLfdSQIKFhNO/CAP9OMhLHsT+HNSVgBbTdvQwq4fWRYiFPtbwmjWMWyQ==" saltValue="Zi7kw9toyBEQceGOnP/efw==" spinCount="100000" sheet="1" objects="1" scenarios="1"/>
  <conditionalFormatting sqref="C46:F46">
    <cfRule type="cellIs" dxfId="13" priority="35" stopIfTrue="1" operator="equal">
      <formula>0</formula>
    </cfRule>
    <cfRule type="cellIs" dxfId="12" priority="36" stopIfTrue="1" operator="notEqual">
      <formula>0</formula>
    </cfRule>
  </conditionalFormatting>
  <conditionalFormatting sqref="C46">
    <cfRule type="expression" dxfId="11" priority="33" stopIfTrue="1">
      <formula>#REF!=0</formula>
    </cfRule>
  </conditionalFormatting>
  <conditionalFormatting sqref="D46">
    <cfRule type="expression" dxfId="10" priority="32" stopIfTrue="1">
      <formula>#REF!=0</formula>
    </cfRule>
  </conditionalFormatting>
  <conditionalFormatting sqref="E46:F46">
    <cfRule type="expression" dxfId="9" priority="31" stopIfTrue="1">
      <formula>#REF!=0</formula>
    </cfRule>
  </conditionalFormatting>
  <conditionalFormatting sqref="C46:F46">
    <cfRule type="expression" dxfId="8" priority="30" stopIfTrue="1">
      <formula>#REF!=0</formula>
    </cfRule>
  </conditionalFormatting>
  <conditionalFormatting sqref="C46:F46">
    <cfRule type="expression" dxfId="7" priority="29" stopIfTrue="1">
      <formula>#REF!=0</formula>
    </cfRule>
  </conditionalFormatting>
  <conditionalFormatting sqref="C46:F46">
    <cfRule type="expression" dxfId="6" priority="28" stopIfTrue="1">
      <formula>C44=0</formula>
    </cfRule>
  </conditionalFormatting>
  <conditionalFormatting sqref="B42:Y42">
    <cfRule type="cellIs" dxfId="5" priority="4" operator="lessThanOrEqual">
      <formula>0.8</formula>
    </cfRule>
    <cfRule type="cellIs" dxfId="4" priority="6" operator="between">
      <formula>0.8</formula>
      <formula>0.95</formula>
    </cfRule>
    <cfRule type="cellIs" dxfId="3" priority="7" operator="greaterThanOrEqual">
      <formula>0.95</formula>
    </cfRule>
  </conditionalFormatting>
  <conditionalFormatting sqref="B28:Y28">
    <cfRule type="cellIs" dxfId="2" priority="1" operator="greaterThanOrEqual">
      <formula>0.9</formula>
    </cfRule>
    <cfRule type="cellIs" dxfId="1" priority="2" operator="between">
      <formula>0.7</formula>
      <formula>0.9</formula>
    </cfRule>
    <cfRule type="cellIs" dxfId="0" priority="3" operator="lessThanOrEqual">
      <formula>0.7</formula>
    </cfRule>
  </conditionalFormatting>
  <pageMargins left="0.7" right="0.7" top="0.78740157499999996" bottom="0.78740157499999996" header="0.3" footer="0.3"/>
  <pageSetup paperSize="9" scale="3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SPOR_Template</vt:lpstr>
    </vt:vector>
  </TitlesOfParts>
  <Company>Stryker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Jahn, Christian</dc:creator>
  <cp:lastModifiedBy>Christian Jahn</cp:lastModifiedBy>
  <cp:lastPrinted>2016-10-09T14:03:23Z</cp:lastPrinted>
  <dcterms:created xsi:type="dcterms:W3CDTF">2016-10-07T07:03:59Z</dcterms:created>
  <dcterms:modified xsi:type="dcterms:W3CDTF">2021-02-18T07:52:34Z</dcterms:modified>
</cp:coreProperties>
</file>